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idrdcol-my.sharepoint.com/personal/katherin_baquero_idrd_gov_co/Documents/CUADROS RESUMEN CONTRATOS/2025/"/>
    </mc:Choice>
  </mc:AlternateContent>
  <xr:revisionPtr revIDLastSave="7" documentId="8_{263CE4AB-6467-44D0-89D0-E823F0AD2670}" xr6:coauthVersionLast="47" xr6:coauthVersionMax="47" xr10:uidLastSave="{98FF00D0-A17F-479D-8F44-3CA969CBE0FA}"/>
  <bookViews>
    <workbookView xWindow="-120" yWindow="-120" windowWidth="20730" windowHeight="11160" xr2:uid="{A8D7F657-2CB9-4A35-A658-CDA13A5356F2}"/>
  </bookViews>
  <sheets>
    <sheet name="2024" sheetId="1" r:id="rId1"/>
  </sheets>
  <externalReferences>
    <externalReference r:id="rId2"/>
    <externalReference r:id="rId3"/>
    <externalReference r:id="rId4"/>
    <externalReference r:id="rId5"/>
  </externalReferences>
  <definedNames>
    <definedName name="_xlnm._FilterDatabase" localSheetId="0" hidden="1">'2024'!$A$9:$K$1690</definedName>
    <definedName name="ANTONIO_NARIÑO">[1]LISTA!$R$3:$R$6</definedName>
    <definedName name="BARRIOS_UNIDOS">[1]LISTA!$O$3:$O$13</definedName>
    <definedName name="BOSA">[1]LISTA!$J$3:$J$13</definedName>
    <definedName name="CANDELARIA">[1]LISTA!$T$3</definedName>
    <definedName name="CHAPINERO">[1]LISTA!$E$3:$E$5</definedName>
    <definedName name="CIUDAD_BOLIVAR">[1]LISTA!$V$3:$V$13</definedName>
    <definedName name="ENGATIVA">[1]LISTA!$M$3:$M$13</definedName>
    <definedName name="ENTRADA_SOLICITUD">[1]LISTA!$F$25:$F$28</definedName>
    <definedName name="ESTADO">[2]!Tabla30[ESTADO]</definedName>
    <definedName name="FONTIBON">[1]LISTA!$L$3:$L$7</definedName>
    <definedName name="KENNEDY">[1]LISTA!$K$3:$K$16</definedName>
    <definedName name="LOCALIDAD">[2]!Tabla2[LOCALIDAD]</definedName>
    <definedName name="MARTIRES">[1]LISTA!$Q$3:$Q$6</definedName>
    <definedName name="MES">[1]LISTA!$D$25:$D$36</definedName>
    <definedName name="Nombre_Parque" localSheetId="0">[3]DATOS!$B$4:$B$237</definedName>
    <definedName name="Nombre_Parque">[4]LISTA!$AA$3:$AA$134</definedName>
    <definedName name="PUENTE_ARANDA">[1]LISTA!$S$3:$S$8</definedName>
    <definedName name="RAFAEL_URIBE">[1]LISTA!$U$3:$U$10</definedName>
    <definedName name="SAN_CRISTOBAL">[1]LISTA!$G$3:$G$9</definedName>
    <definedName name="SANTAFE">[1]LISTA!$F$3:$F$9</definedName>
    <definedName name="SOLICITUD_DIRIGIDA_A">[2]LISTA!$G$25:$G$36</definedName>
    <definedName name="SUBA">[1]LISTA!$N$3:$N$13</definedName>
    <definedName name="TEUSAQUILLO">[1]LISTA!$P$3:$P$7</definedName>
    <definedName name="TUNJUELITO">[1]LISTA!$I$3:$I$5</definedName>
    <definedName name="USAQUEN">[1]LISTA!$D$3:$D$7</definedName>
    <definedName name="USME">[1]LISTA!$H$3:$H$9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13" i="1" l="1"/>
  <c r="G513" i="1"/>
  <c r="K1692" i="1"/>
  <c r="H1690" i="1"/>
  <c r="G1690" i="1"/>
  <c r="H1689" i="1"/>
  <c r="G1689" i="1"/>
  <c r="H1688" i="1"/>
  <c r="G1688" i="1"/>
  <c r="H1687" i="1"/>
  <c r="G1687" i="1"/>
  <c r="H1686" i="1"/>
  <c r="G1686" i="1"/>
  <c r="H1685" i="1"/>
  <c r="G1685" i="1"/>
  <c r="H1684" i="1"/>
  <c r="G1684" i="1"/>
  <c r="H1683" i="1"/>
  <c r="G1683" i="1"/>
  <c r="H1682" i="1"/>
  <c r="G1682" i="1"/>
  <c r="H1681" i="1"/>
  <c r="G1681" i="1"/>
  <c r="H1680" i="1"/>
  <c r="G1680" i="1"/>
  <c r="H1679" i="1"/>
  <c r="G1679" i="1"/>
  <c r="H1678" i="1"/>
  <c r="G1678" i="1"/>
  <c r="H1677" i="1"/>
  <c r="G1677" i="1"/>
  <c r="H1676" i="1"/>
  <c r="G1676" i="1"/>
  <c r="H1675" i="1"/>
  <c r="G1675" i="1"/>
  <c r="H1674" i="1"/>
  <c r="G1674" i="1"/>
  <c r="H1673" i="1"/>
  <c r="G1673" i="1"/>
  <c r="H1672" i="1"/>
  <c r="G1672" i="1"/>
  <c r="H1671" i="1"/>
  <c r="G1671" i="1"/>
  <c r="H1670" i="1"/>
  <c r="G1670" i="1"/>
  <c r="H1669" i="1"/>
  <c r="G1669" i="1"/>
  <c r="H1668" i="1"/>
  <c r="G1668" i="1"/>
  <c r="H1667" i="1"/>
  <c r="G1667" i="1"/>
  <c r="H1666" i="1"/>
  <c r="G1666" i="1"/>
  <c r="H1665" i="1"/>
  <c r="G1665" i="1"/>
  <c r="H1664" i="1"/>
  <c r="G1664" i="1"/>
  <c r="H1663" i="1"/>
  <c r="G1663" i="1"/>
  <c r="H1662" i="1"/>
  <c r="G1662" i="1"/>
  <c r="H1661" i="1"/>
  <c r="G1661" i="1"/>
  <c r="H1660" i="1"/>
  <c r="G1660" i="1"/>
  <c r="H1659" i="1"/>
  <c r="G1659" i="1"/>
  <c r="H1658" i="1"/>
  <c r="G1658" i="1"/>
  <c r="H1657" i="1"/>
  <c r="G1657" i="1"/>
  <c r="H1656" i="1"/>
  <c r="G1656" i="1"/>
  <c r="H1655" i="1"/>
  <c r="G1655" i="1"/>
  <c r="H1654" i="1"/>
  <c r="G1654" i="1"/>
  <c r="H1653" i="1"/>
  <c r="G1653" i="1"/>
  <c r="H1652" i="1"/>
  <c r="G1652" i="1"/>
  <c r="H1651" i="1"/>
  <c r="G1651" i="1"/>
  <c r="H1650" i="1"/>
  <c r="G1650" i="1"/>
  <c r="H1649" i="1"/>
  <c r="G1649" i="1"/>
  <c r="H1648" i="1"/>
  <c r="G1648" i="1"/>
  <c r="H1647" i="1"/>
  <c r="G1647" i="1"/>
  <c r="H1646" i="1"/>
  <c r="G1646" i="1"/>
  <c r="H1645" i="1"/>
  <c r="G1645" i="1"/>
  <c r="H1644" i="1"/>
  <c r="G1644" i="1"/>
  <c r="H1643" i="1"/>
  <c r="G1643" i="1"/>
  <c r="H1642" i="1"/>
  <c r="G1642" i="1"/>
  <c r="H1641" i="1"/>
  <c r="G1641" i="1"/>
  <c r="H1640" i="1"/>
  <c r="G1640" i="1"/>
  <c r="H1639" i="1"/>
  <c r="G1639" i="1"/>
  <c r="H1638" i="1"/>
  <c r="G1638" i="1"/>
  <c r="H1637" i="1"/>
  <c r="G1637" i="1"/>
  <c r="H1636" i="1"/>
  <c r="G1636" i="1"/>
  <c r="H1635" i="1"/>
  <c r="G1635" i="1"/>
  <c r="H1634" i="1"/>
  <c r="G1634" i="1"/>
  <c r="H1633" i="1"/>
  <c r="G1633" i="1"/>
  <c r="H1632" i="1"/>
  <c r="G1632" i="1"/>
  <c r="H1631" i="1"/>
  <c r="G1631" i="1"/>
  <c r="H1630" i="1"/>
  <c r="G1630" i="1"/>
  <c r="H1629" i="1"/>
  <c r="G1629" i="1"/>
  <c r="H1628" i="1"/>
  <c r="G1628" i="1"/>
  <c r="H1627" i="1"/>
  <c r="G1627" i="1"/>
  <c r="H1626" i="1"/>
  <c r="G1626" i="1"/>
  <c r="H1625" i="1"/>
  <c r="G1625" i="1"/>
  <c r="H1624" i="1"/>
  <c r="G1624" i="1"/>
  <c r="H1623" i="1"/>
  <c r="G1623" i="1"/>
  <c r="H1622" i="1"/>
  <c r="G1622" i="1"/>
  <c r="H1621" i="1"/>
  <c r="G1621" i="1"/>
  <c r="H1620" i="1"/>
  <c r="G1620" i="1"/>
  <c r="H1619" i="1"/>
  <c r="G1619" i="1"/>
  <c r="H1618" i="1"/>
  <c r="G1618" i="1"/>
  <c r="H1617" i="1"/>
  <c r="G1617" i="1"/>
  <c r="H1616" i="1"/>
  <c r="G1616" i="1"/>
  <c r="H1615" i="1"/>
  <c r="G1615" i="1"/>
  <c r="H1614" i="1"/>
  <c r="G1614" i="1"/>
  <c r="H1613" i="1"/>
  <c r="G1613" i="1"/>
  <c r="H1612" i="1"/>
  <c r="G1612" i="1"/>
  <c r="H1611" i="1"/>
  <c r="G1611" i="1"/>
  <c r="H1610" i="1"/>
  <c r="G1610" i="1"/>
  <c r="H1609" i="1"/>
  <c r="G1609" i="1"/>
  <c r="H1608" i="1"/>
  <c r="G1608" i="1"/>
  <c r="H1607" i="1"/>
  <c r="G1607" i="1"/>
  <c r="H1606" i="1"/>
  <c r="G1606" i="1"/>
  <c r="H1605" i="1"/>
  <c r="G1605" i="1"/>
  <c r="H1604" i="1"/>
  <c r="G1604" i="1"/>
  <c r="H1603" i="1"/>
  <c r="G1603" i="1"/>
  <c r="H1602" i="1"/>
  <c r="G1602" i="1"/>
  <c r="H1601" i="1"/>
  <c r="G1601" i="1"/>
  <c r="H1600" i="1"/>
  <c r="G1600" i="1"/>
  <c r="H1599" i="1"/>
  <c r="G1599" i="1"/>
  <c r="H1598" i="1"/>
  <c r="G1598" i="1"/>
  <c r="H1597" i="1"/>
  <c r="G1597" i="1"/>
  <c r="H1596" i="1"/>
  <c r="G1596" i="1"/>
  <c r="H1595" i="1"/>
  <c r="G1595" i="1"/>
  <c r="H1594" i="1"/>
  <c r="G1594" i="1"/>
  <c r="H1593" i="1"/>
  <c r="G1593" i="1"/>
  <c r="H1592" i="1"/>
  <c r="G1592" i="1"/>
  <c r="H1591" i="1"/>
  <c r="G1591" i="1"/>
  <c r="H1590" i="1"/>
  <c r="G1590" i="1"/>
  <c r="H1589" i="1"/>
  <c r="G1589" i="1"/>
  <c r="H1588" i="1"/>
  <c r="G1588" i="1"/>
  <c r="H1587" i="1"/>
  <c r="G1587" i="1"/>
  <c r="H1586" i="1"/>
  <c r="G1586" i="1"/>
  <c r="H1585" i="1"/>
  <c r="G1585" i="1"/>
  <c r="H1584" i="1"/>
  <c r="G1584" i="1"/>
  <c r="H1583" i="1"/>
  <c r="G1583" i="1"/>
  <c r="H1582" i="1"/>
  <c r="G1582" i="1"/>
  <c r="H1581" i="1"/>
  <c r="G1581" i="1"/>
  <c r="H1580" i="1"/>
  <c r="G1580" i="1"/>
  <c r="H1579" i="1"/>
  <c r="G1579" i="1"/>
  <c r="H1578" i="1"/>
  <c r="G1578" i="1"/>
  <c r="H1577" i="1"/>
  <c r="G1577" i="1"/>
  <c r="H1576" i="1"/>
  <c r="G1576" i="1"/>
  <c r="H1575" i="1"/>
  <c r="G1575" i="1"/>
  <c r="H1574" i="1"/>
  <c r="G1574" i="1"/>
  <c r="H1573" i="1"/>
  <c r="G1573" i="1"/>
  <c r="H1572" i="1"/>
  <c r="G1572" i="1"/>
  <c r="H1571" i="1"/>
  <c r="G1571" i="1"/>
  <c r="H1570" i="1"/>
  <c r="G1570" i="1"/>
  <c r="H1569" i="1"/>
  <c r="G1569" i="1"/>
  <c r="H1568" i="1"/>
  <c r="G1568" i="1"/>
  <c r="H1567" i="1"/>
  <c r="G1567" i="1"/>
  <c r="H1566" i="1"/>
  <c r="G1566" i="1"/>
  <c r="H1565" i="1"/>
  <c r="G1565" i="1"/>
  <c r="H1564" i="1"/>
  <c r="G1564" i="1"/>
  <c r="H1563" i="1"/>
  <c r="G1563" i="1"/>
  <c r="H1562" i="1"/>
  <c r="G1562" i="1"/>
  <c r="H1561" i="1"/>
  <c r="G1561" i="1"/>
  <c r="H1560" i="1"/>
  <c r="G1560" i="1"/>
  <c r="H1559" i="1"/>
  <c r="G1559" i="1"/>
  <c r="H1558" i="1"/>
  <c r="G1558" i="1"/>
  <c r="H1557" i="1"/>
  <c r="G1557" i="1"/>
  <c r="H1556" i="1"/>
  <c r="G1556" i="1"/>
  <c r="H1555" i="1"/>
  <c r="G1555" i="1"/>
  <c r="H1554" i="1"/>
  <c r="G1554" i="1"/>
  <c r="H1552" i="1"/>
  <c r="G1552" i="1"/>
  <c r="L1551" i="1"/>
  <c r="H1551" i="1"/>
  <c r="G1551" i="1"/>
  <c r="H1550" i="1"/>
  <c r="G1550" i="1"/>
  <c r="H1549" i="1"/>
  <c r="G1549" i="1"/>
  <c r="H1548" i="1"/>
  <c r="G1548" i="1"/>
  <c r="H1547" i="1"/>
  <c r="G1547" i="1"/>
  <c r="H1546" i="1"/>
  <c r="G1546" i="1"/>
  <c r="H1545" i="1"/>
  <c r="G1545" i="1"/>
  <c r="H1544" i="1"/>
  <c r="G1544" i="1"/>
  <c r="H1543" i="1"/>
  <c r="G1543" i="1"/>
  <c r="H1542" i="1"/>
  <c r="G1542" i="1"/>
  <c r="H1541" i="1"/>
  <c r="G1541" i="1"/>
  <c r="H1540" i="1"/>
  <c r="G1540" i="1"/>
  <c r="H1539" i="1"/>
  <c r="G1539" i="1"/>
  <c r="H1538" i="1"/>
  <c r="G1538" i="1"/>
  <c r="H1537" i="1"/>
  <c r="G1537" i="1"/>
  <c r="H1536" i="1"/>
  <c r="G1536" i="1"/>
  <c r="H1535" i="1"/>
  <c r="G1535" i="1"/>
  <c r="H1534" i="1"/>
  <c r="G1534" i="1"/>
  <c r="H1533" i="1"/>
  <c r="G1533" i="1"/>
  <c r="H1532" i="1"/>
  <c r="G1532" i="1"/>
  <c r="H1531" i="1"/>
  <c r="G1531" i="1"/>
  <c r="H1530" i="1"/>
  <c r="G1530" i="1"/>
  <c r="H1529" i="1"/>
  <c r="G1529" i="1"/>
  <c r="H1528" i="1"/>
  <c r="G1528" i="1"/>
  <c r="H1527" i="1"/>
  <c r="G1527" i="1"/>
  <c r="H1526" i="1"/>
  <c r="G1526" i="1"/>
  <c r="H1525" i="1"/>
  <c r="G1525" i="1"/>
  <c r="H1524" i="1"/>
  <c r="G1524" i="1"/>
  <c r="H1523" i="1"/>
  <c r="G1523" i="1"/>
  <c r="H1522" i="1"/>
  <c r="G1522" i="1"/>
  <c r="H1521" i="1"/>
  <c r="G1521" i="1"/>
  <c r="H1520" i="1"/>
  <c r="G1520" i="1"/>
  <c r="H1519" i="1"/>
  <c r="G1519" i="1"/>
  <c r="H1518" i="1"/>
  <c r="G1518" i="1"/>
  <c r="H1517" i="1"/>
  <c r="G1517" i="1"/>
  <c r="H1516" i="1"/>
  <c r="G1516" i="1"/>
  <c r="H1515" i="1"/>
  <c r="G1515" i="1"/>
  <c r="H1514" i="1"/>
  <c r="G1514" i="1"/>
  <c r="H1513" i="1"/>
  <c r="G1513" i="1"/>
  <c r="H1512" i="1"/>
  <c r="G1512" i="1"/>
  <c r="H1511" i="1"/>
  <c r="G1511" i="1"/>
  <c r="H1509" i="1"/>
  <c r="G1509" i="1"/>
  <c r="H1508" i="1"/>
  <c r="G1508" i="1"/>
  <c r="H1507" i="1"/>
  <c r="G1507" i="1"/>
  <c r="H1506" i="1"/>
  <c r="G1506" i="1"/>
  <c r="H1505" i="1"/>
  <c r="G1505" i="1"/>
  <c r="H1504" i="1"/>
  <c r="G1504" i="1"/>
  <c r="H1503" i="1"/>
  <c r="G1503" i="1"/>
  <c r="H1502" i="1"/>
  <c r="G1502" i="1"/>
  <c r="H1501" i="1"/>
  <c r="G1501" i="1"/>
  <c r="H1500" i="1"/>
  <c r="G1500" i="1"/>
  <c r="H1499" i="1"/>
  <c r="G1499" i="1"/>
  <c r="H1498" i="1"/>
  <c r="G1498" i="1"/>
  <c r="H1497" i="1"/>
  <c r="G1497" i="1"/>
  <c r="H1496" i="1"/>
  <c r="G1496" i="1"/>
  <c r="H1495" i="1"/>
  <c r="G1495" i="1"/>
  <c r="H1494" i="1"/>
  <c r="G1494" i="1"/>
  <c r="H1493" i="1"/>
  <c r="G1493" i="1"/>
  <c r="H1491" i="1"/>
  <c r="G1491" i="1"/>
  <c r="H1490" i="1"/>
  <c r="G1490" i="1"/>
  <c r="H1489" i="1"/>
  <c r="G1489" i="1"/>
  <c r="H1488" i="1"/>
  <c r="G1488" i="1"/>
  <c r="H1487" i="1"/>
  <c r="G1487" i="1"/>
  <c r="H1486" i="1"/>
  <c r="G1486" i="1"/>
  <c r="H1485" i="1"/>
  <c r="G1485" i="1"/>
  <c r="H1484" i="1"/>
  <c r="G1484" i="1"/>
  <c r="H1483" i="1"/>
  <c r="G1483" i="1"/>
  <c r="H1482" i="1"/>
  <c r="G1482" i="1"/>
  <c r="H1481" i="1"/>
  <c r="G1481" i="1"/>
  <c r="H1480" i="1"/>
  <c r="G1480" i="1"/>
  <c r="H1479" i="1"/>
  <c r="G1479" i="1"/>
  <c r="H1478" i="1"/>
  <c r="G1478" i="1"/>
  <c r="H1477" i="1"/>
  <c r="G1477" i="1"/>
  <c r="H1476" i="1"/>
  <c r="G1476" i="1"/>
  <c r="H1475" i="1"/>
  <c r="G1475" i="1"/>
  <c r="H1474" i="1"/>
  <c r="G1474" i="1"/>
  <c r="H1473" i="1"/>
  <c r="G1473" i="1"/>
  <c r="H1472" i="1"/>
  <c r="G1472" i="1"/>
  <c r="H1471" i="1"/>
  <c r="G1471" i="1"/>
  <c r="H1470" i="1"/>
  <c r="G1470" i="1"/>
  <c r="H1469" i="1"/>
  <c r="G1469" i="1"/>
  <c r="H1468" i="1"/>
  <c r="G1468" i="1"/>
  <c r="H1467" i="1"/>
  <c r="G1467" i="1"/>
  <c r="H1466" i="1"/>
  <c r="G1466" i="1"/>
  <c r="H1465" i="1"/>
  <c r="G1465" i="1"/>
  <c r="H1464" i="1"/>
  <c r="G1464" i="1"/>
  <c r="H1463" i="1"/>
  <c r="G1463" i="1"/>
  <c r="H1462" i="1"/>
  <c r="G1462" i="1"/>
  <c r="H1461" i="1"/>
  <c r="G1461" i="1"/>
  <c r="H1460" i="1"/>
  <c r="G1460" i="1"/>
  <c r="H1459" i="1"/>
  <c r="G1459" i="1"/>
  <c r="H1458" i="1"/>
  <c r="G1458" i="1"/>
  <c r="H1457" i="1"/>
  <c r="G1457" i="1"/>
  <c r="H1456" i="1"/>
  <c r="G1456" i="1"/>
  <c r="H1455" i="1"/>
  <c r="G1455" i="1"/>
  <c r="H1454" i="1"/>
  <c r="G1454" i="1"/>
  <c r="H1453" i="1"/>
  <c r="G1453" i="1"/>
  <c r="H1452" i="1"/>
  <c r="G1452" i="1"/>
  <c r="H1451" i="1"/>
  <c r="G1451" i="1"/>
  <c r="H1450" i="1"/>
  <c r="G1450" i="1"/>
  <c r="H1449" i="1"/>
  <c r="G1449" i="1"/>
  <c r="H1448" i="1"/>
  <c r="G1448" i="1"/>
  <c r="H1447" i="1"/>
  <c r="G1447" i="1"/>
  <c r="H1446" i="1"/>
  <c r="G1446" i="1"/>
  <c r="H1445" i="1"/>
  <c r="G1445" i="1"/>
  <c r="H1444" i="1"/>
  <c r="G1444" i="1"/>
  <c r="H1443" i="1"/>
  <c r="G1443" i="1"/>
  <c r="H1442" i="1"/>
  <c r="G1442" i="1"/>
  <c r="H1441" i="1"/>
  <c r="G1441" i="1"/>
  <c r="H1440" i="1"/>
  <c r="G1440" i="1"/>
  <c r="H1439" i="1"/>
  <c r="G1439" i="1"/>
  <c r="H1438" i="1"/>
  <c r="G1438" i="1"/>
  <c r="H1437" i="1"/>
  <c r="G1437" i="1"/>
  <c r="H1436" i="1"/>
  <c r="G1436" i="1"/>
  <c r="H1435" i="1"/>
  <c r="G1435" i="1"/>
  <c r="H1434" i="1"/>
  <c r="G1434" i="1"/>
  <c r="H1433" i="1"/>
  <c r="G1433" i="1"/>
  <c r="H1432" i="1"/>
  <c r="G1432" i="1"/>
  <c r="H1431" i="1"/>
  <c r="G1431" i="1"/>
  <c r="H1430" i="1"/>
  <c r="G1430" i="1"/>
  <c r="H1429" i="1"/>
  <c r="G1429" i="1"/>
  <c r="H1428" i="1"/>
  <c r="G1428" i="1"/>
  <c r="H1427" i="1"/>
  <c r="G1427" i="1"/>
  <c r="H1426" i="1"/>
  <c r="G1426" i="1"/>
  <c r="H1425" i="1"/>
  <c r="G1425" i="1"/>
  <c r="H1424" i="1"/>
  <c r="G1424" i="1"/>
  <c r="H1423" i="1"/>
  <c r="G1423" i="1"/>
  <c r="H1422" i="1"/>
  <c r="G1422" i="1"/>
  <c r="H1421" i="1"/>
  <c r="G1421" i="1"/>
  <c r="H1420" i="1"/>
  <c r="G1420" i="1"/>
  <c r="H1419" i="1"/>
  <c r="G1419" i="1"/>
  <c r="H1418" i="1"/>
  <c r="G1418" i="1"/>
  <c r="H1417" i="1"/>
  <c r="G1417" i="1"/>
  <c r="H1416" i="1"/>
  <c r="G1416" i="1"/>
  <c r="H1415" i="1"/>
  <c r="G1415" i="1"/>
  <c r="H1414" i="1"/>
  <c r="G1414" i="1"/>
  <c r="H1413" i="1"/>
  <c r="G1413" i="1"/>
  <c r="H1412" i="1"/>
  <c r="G1412" i="1"/>
  <c r="H1411" i="1"/>
  <c r="G1411" i="1"/>
  <c r="H1410" i="1"/>
  <c r="G1410" i="1"/>
  <c r="H1409" i="1"/>
  <c r="G1409" i="1"/>
  <c r="H1408" i="1"/>
  <c r="G1408" i="1"/>
  <c r="H1407" i="1"/>
  <c r="G1407" i="1"/>
  <c r="H1406" i="1"/>
  <c r="G1406" i="1"/>
  <c r="H1405" i="1"/>
  <c r="G1405" i="1"/>
  <c r="H1404" i="1"/>
  <c r="G1404" i="1"/>
  <c r="H1403" i="1"/>
  <c r="G1403" i="1"/>
  <c r="H1402" i="1"/>
  <c r="G1402" i="1"/>
  <c r="H1401" i="1"/>
  <c r="G1401" i="1"/>
  <c r="H1400" i="1"/>
  <c r="G1400" i="1"/>
  <c r="H1399" i="1"/>
  <c r="G1399" i="1"/>
  <c r="H1398" i="1"/>
  <c r="G1398" i="1"/>
  <c r="H1397" i="1"/>
  <c r="G1397" i="1"/>
  <c r="H1396" i="1"/>
  <c r="G1396" i="1"/>
  <c r="H1395" i="1"/>
  <c r="G1395" i="1"/>
  <c r="H1394" i="1"/>
  <c r="G1394" i="1"/>
  <c r="H1393" i="1"/>
  <c r="G1393" i="1"/>
  <c r="H1392" i="1"/>
  <c r="G1392" i="1"/>
  <c r="H1391" i="1"/>
  <c r="G1391" i="1"/>
  <c r="H1390" i="1"/>
  <c r="G1390" i="1"/>
  <c r="H1389" i="1"/>
  <c r="G1389" i="1"/>
  <c r="H1388" i="1"/>
  <c r="G1388" i="1"/>
  <c r="H1387" i="1"/>
  <c r="G1387" i="1"/>
  <c r="H1386" i="1"/>
  <c r="G1386" i="1"/>
  <c r="H1385" i="1"/>
  <c r="G1385" i="1"/>
  <c r="H1384" i="1"/>
  <c r="G1384" i="1"/>
  <c r="H1383" i="1"/>
  <c r="G1383" i="1"/>
  <c r="H1382" i="1"/>
  <c r="G1382" i="1"/>
  <c r="H1381" i="1"/>
  <c r="G1381" i="1"/>
  <c r="H1380" i="1"/>
  <c r="G1380" i="1"/>
  <c r="H1379" i="1"/>
  <c r="G1379" i="1"/>
  <c r="H1378" i="1"/>
  <c r="G1378" i="1"/>
  <c r="H1377" i="1"/>
  <c r="G1377" i="1"/>
  <c r="H1376" i="1"/>
  <c r="G1376" i="1"/>
  <c r="H1375" i="1"/>
  <c r="G1375" i="1"/>
  <c r="H1374" i="1"/>
  <c r="G1374" i="1"/>
  <c r="H1373" i="1"/>
  <c r="G1373" i="1"/>
  <c r="H1372" i="1"/>
  <c r="G1372" i="1"/>
  <c r="H1371" i="1"/>
  <c r="G1371" i="1"/>
  <c r="H1370" i="1"/>
  <c r="G1370" i="1"/>
  <c r="H1369" i="1"/>
  <c r="G1369" i="1"/>
  <c r="H1368" i="1"/>
  <c r="G1368" i="1"/>
  <c r="H1367" i="1"/>
  <c r="G1367" i="1"/>
  <c r="H1366" i="1"/>
  <c r="G1366" i="1"/>
  <c r="H1365" i="1"/>
  <c r="G1365" i="1"/>
  <c r="H1364" i="1"/>
  <c r="G1364" i="1"/>
  <c r="H1363" i="1"/>
  <c r="G1363" i="1"/>
  <c r="H1362" i="1"/>
  <c r="G1362" i="1"/>
  <c r="H1361" i="1"/>
  <c r="G1361" i="1"/>
  <c r="H1360" i="1"/>
  <c r="G1360" i="1"/>
  <c r="H1359" i="1"/>
  <c r="G1359" i="1"/>
  <c r="H1358" i="1"/>
  <c r="G1358" i="1"/>
  <c r="H1357" i="1"/>
  <c r="G1357" i="1"/>
  <c r="H1356" i="1"/>
  <c r="G1356" i="1"/>
  <c r="H1355" i="1"/>
  <c r="G1355" i="1"/>
  <c r="H1354" i="1"/>
  <c r="G1354" i="1"/>
  <c r="H1353" i="1"/>
  <c r="G1353" i="1"/>
  <c r="H1352" i="1"/>
  <c r="G1352" i="1"/>
  <c r="H1351" i="1"/>
  <c r="G1351" i="1"/>
  <c r="H1349" i="1"/>
  <c r="G1349" i="1"/>
  <c r="H1348" i="1"/>
  <c r="G1348" i="1"/>
  <c r="H1347" i="1"/>
  <c r="G1347" i="1"/>
  <c r="H1346" i="1"/>
  <c r="G1346" i="1"/>
  <c r="H1345" i="1"/>
  <c r="G1345" i="1"/>
  <c r="H1344" i="1"/>
  <c r="G1344" i="1"/>
  <c r="H1343" i="1"/>
  <c r="G1343" i="1"/>
  <c r="H1342" i="1"/>
  <c r="G1342" i="1"/>
  <c r="H1341" i="1"/>
  <c r="G1341" i="1"/>
  <c r="H1340" i="1"/>
  <c r="G1340" i="1"/>
  <c r="H1339" i="1"/>
  <c r="G1339" i="1"/>
  <c r="H1338" i="1"/>
  <c r="G1338" i="1"/>
  <c r="H1337" i="1"/>
  <c r="G1337" i="1"/>
  <c r="H1336" i="1"/>
  <c r="G1336" i="1"/>
  <c r="H1335" i="1"/>
  <c r="G1335" i="1"/>
  <c r="H1334" i="1"/>
  <c r="G1334" i="1"/>
  <c r="H1333" i="1"/>
  <c r="G1333" i="1"/>
  <c r="H1332" i="1"/>
  <c r="G1332" i="1"/>
  <c r="H1331" i="1"/>
  <c r="G1331" i="1"/>
  <c r="H1330" i="1"/>
  <c r="G1330" i="1"/>
  <c r="H1329" i="1"/>
  <c r="G1329" i="1"/>
  <c r="H1328" i="1"/>
  <c r="G1328" i="1"/>
  <c r="H1327" i="1"/>
  <c r="G1327" i="1"/>
  <c r="H1326" i="1"/>
  <c r="G1326" i="1"/>
  <c r="H1325" i="1"/>
  <c r="G1325" i="1"/>
  <c r="H1324" i="1"/>
  <c r="G1324" i="1"/>
  <c r="H1323" i="1"/>
  <c r="G1323" i="1"/>
  <c r="H1322" i="1"/>
  <c r="G1322" i="1"/>
  <c r="H1321" i="1"/>
  <c r="G1321" i="1"/>
  <c r="H1320" i="1"/>
  <c r="G1320" i="1"/>
  <c r="H1319" i="1"/>
  <c r="G1319" i="1"/>
  <c r="H1318" i="1"/>
  <c r="G1318" i="1"/>
  <c r="H1317" i="1"/>
  <c r="G1317" i="1"/>
  <c r="H1316" i="1"/>
  <c r="G1316" i="1"/>
  <c r="H1315" i="1"/>
  <c r="G1315" i="1"/>
  <c r="H1314" i="1"/>
  <c r="G1314" i="1"/>
  <c r="H1313" i="1"/>
  <c r="G1313" i="1"/>
  <c r="H1312" i="1"/>
  <c r="G1312" i="1"/>
  <c r="H1311" i="1"/>
  <c r="G1311" i="1"/>
  <c r="H1310" i="1"/>
  <c r="G1310" i="1"/>
  <c r="H1309" i="1"/>
  <c r="G1309" i="1"/>
  <c r="H1308" i="1"/>
  <c r="G1308" i="1"/>
  <c r="H1307" i="1"/>
  <c r="G1307" i="1"/>
  <c r="H1306" i="1"/>
  <c r="G1306" i="1"/>
  <c r="H1305" i="1"/>
  <c r="G1305" i="1"/>
  <c r="H1304" i="1"/>
  <c r="G1304" i="1"/>
  <c r="H1303" i="1"/>
  <c r="G1303" i="1"/>
  <c r="H1302" i="1"/>
  <c r="G1302" i="1"/>
  <c r="H1301" i="1"/>
  <c r="G1301" i="1"/>
  <c r="H1300" i="1"/>
  <c r="G1300" i="1"/>
  <c r="H1299" i="1"/>
  <c r="G1299" i="1"/>
  <c r="H1298" i="1"/>
  <c r="G1298" i="1"/>
  <c r="H1297" i="1"/>
  <c r="G1297" i="1"/>
  <c r="H1296" i="1"/>
  <c r="G1296" i="1"/>
  <c r="H1295" i="1"/>
  <c r="G1295" i="1"/>
  <c r="H1294" i="1"/>
  <c r="G1294" i="1"/>
  <c r="H1293" i="1"/>
  <c r="G1293" i="1"/>
  <c r="H1292" i="1"/>
  <c r="G1292" i="1"/>
  <c r="H1291" i="1"/>
  <c r="G1291" i="1"/>
  <c r="H1290" i="1"/>
  <c r="G1290" i="1"/>
  <c r="H1289" i="1"/>
  <c r="G1289" i="1"/>
  <c r="H1288" i="1"/>
  <c r="G1288" i="1"/>
  <c r="H1287" i="1"/>
  <c r="G1287" i="1"/>
  <c r="H1286" i="1"/>
  <c r="G1286" i="1"/>
  <c r="H1285" i="1"/>
  <c r="G1285" i="1"/>
  <c r="H1284" i="1"/>
  <c r="G1284" i="1"/>
  <c r="H1283" i="1"/>
  <c r="G1283" i="1"/>
  <c r="H1282" i="1"/>
  <c r="G1282" i="1"/>
  <c r="H1281" i="1"/>
  <c r="G1281" i="1"/>
  <c r="H1280" i="1"/>
  <c r="G1280" i="1"/>
  <c r="H1279" i="1"/>
  <c r="G1279" i="1"/>
  <c r="H1278" i="1"/>
  <c r="G1278" i="1"/>
  <c r="H1277" i="1"/>
  <c r="G1277" i="1"/>
  <c r="H1276" i="1"/>
  <c r="G1276" i="1"/>
  <c r="H1275" i="1"/>
  <c r="G1275" i="1"/>
  <c r="H1274" i="1"/>
  <c r="G1274" i="1"/>
  <c r="H1273" i="1"/>
  <c r="G1273" i="1"/>
  <c r="H1272" i="1"/>
  <c r="G1272" i="1"/>
  <c r="H1271" i="1"/>
  <c r="G1271" i="1"/>
  <c r="H1270" i="1"/>
  <c r="G1270" i="1"/>
  <c r="H1269" i="1"/>
  <c r="G1269" i="1"/>
  <c r="H1268" i="1"/>
  <c r="G1268" i="1"/>
  <c r="H1267" i="1"/>
  <c r="G1267" i="1"/>
  <c r="H1266" i="1"/>
  <c r="G1266" i="1"/>
  <c r="H1265" i="1"/>
  <c r="G1265" i="1"/>
  <c r="H1264" i="1"/>
  <c r="G1264" i="1"/>
  <c r="H1263" i="1"/>
  <c r="G1263" i="1"/>
  <c r="H1262" i="1"/>
  <c r="G1262" i="1"/>
  <c r="H1261" i="1"/>
  <c r="G1261" i="1"/>
  <c r="H1260" i="1"/>
  <c r="G1260" i="1"/>
  <c r="H1259" i="1"/>
  <c r="G1259" i="1"/>
  <c r="H1258" i="1"/>
  <c r="G1258" i="1"/>
  <c r="H1257" i="1"/>
  <c r="G1257" i="1"/>
  <c r="H1256" i="1"/>
  <c r="G1256" i="1"/>
  <c r="H1255" i="1"/>
  <c r="G1255" i="1"/>
  <c r="H1254" i="1"/>
  <c r="G1254" i="1"/>
  <c r="H1253" i="1"/>
  <c r="G1253" i="1"/>
  <c r="H1252" i="1"/>
  <c r="G1252" i="1"/>
  <c r="H1251" i="1"/>
  <c r="G1251" i="1"/>
  <c r="H1250" i="1"/>
  <c r="G1250" i="1"/>
  <c r="H1249" i="1"/>
  <c r="G1249" i="1"/>
  <c r="H1248" i="1"/>
  <c r="G1248" i="1"/>
  <c r="H1247" i="1"/>
  <c r="G1247" i="1"/>
  <c r="H1246" i="1"/>
  <c r="G1246" i="1"/>
  <c r="H1245" i="1"/>
  <c r="G1245" i="1"/>
  <c r="H1244" i="1"/>
  <c r="G1244" i="1"/>
  <c r="H1243" i="1"/>
  <c r="G1243" i="1"/>
  <c r="H1242" i="1"/>
  <c r="G1242" i="1"/>
  <c r="H1241" i="1"/>
  <c r="G1241" i="1"/>
  <c r="H1240" i="1"/>
  <c r="G1240" i="1"/>
  <c r="H1239" i="1"/>
  <c r="G1239" i="1"/>
  <c r="H1238" i="1"/>
  <c r="G1238" i="1"/>
  <c r="H1237" i="1"/>
  <c r="G1237" i="1"/>
  <c r="H1236" i="1"/>
  <c r="G1236" i="1"/>
  <c r="H1235" i="1"/>
  <c r="G1235" i="1"/>
  <c r="H1234" i="1"/>
  <c r="G1234" i="1"/>
  <c r="H1233" i="1"/>
  <c r="G1233" i="1"/>
  <c r="H1232" i="1"/>
  <c r="G1232" i="1"/>
  <c r="H1231" i="1"/>
  <c r="G1231" i="1"/>
  <c r="H1230" i="1"/>
  <c r="G1230" i="1"/>
  <c r="H1229" i="1"/>
  <c r="G1229" i="1"/>
  <c r="H1228" i="1"/>
  <c r="G1228" i="1"/>
  <c r="H1227" i="1"/>
  <c r="G1227" i="1"/>
  <c r="H1226" i="1"/>
  <c r="G1226" i="1"/>
  <c r="H1225" i="1"/>
  <c r="G1225" i="1"/>
  <c r="H1224" i="1"/>
  <c r="G1224" i="1"/>
  <c r="H1223" i="1"/>
  <c r="G1223" i="1"/>
  <c r="H1222" i="1"/>
  <c r="G1222" i="1"/>
  <c r="H1221" i="1"/>
  <c r="G1221" i="1"/>
  <c r="H1220" i="1"/>
  <c r="G1220" i="1"/>
  <c r="H1219" i="1"/>
  <c r="G1219" i="1"/>
  <c r="H1218" i="1"/>
  <c r="G1218" i="1"/>
  <c r="H1217" i="1"/>
  <c r="G1217" i="1"/>
  <c r="H1216" i="1"/>
  <c r="G1216" i="1"/>
  <c r="H1215" i="1"/>
  <c r="G1215" i="1"/>
  <c r="H1214" i="1"/>
  <c r="G1214" i="1"/>
  <c r="H1213" i="1"/>
  <c r="G1213" i="1"/>
  <c r="H1212" i="1"/>
  <c r="G1212" i="1"/>
  <c r="H1211" i="1"/>
  <c r="G1211" i="1"/>
  <c r="H1210" i="1"/>
  <c r="G1210" i="1"/>
  <c r="H1209" i="1"/>
  <c r="G1209" i="1"/>
  <c r="H1208" i="1"/>
  <c r="G1208" i="1"/>
  <c r="H1207" i="1"/>
  <c r="G1207" i="1"/>
  <c r="H1206" i="1"/>
  <c r="G1206" i="1"/>
  <c r="H1205" i="1"/>
  <c r="G1205" i="1"/>
  <c r="H1204" i="1"/>
  <c r="G1204" i="1"/>
  <c r="H1203" i="1"/>
  <c r="G1203" i="1"/>
  <c r="H1202" i="1"/>
  <c r="G1202" i="1"/>
  <c r="H1201" i="1"/>
  <c r="G1201" i="1"/>
  <c r="H1200" i="1"/>
  <c r="G1200" i="1"/>
  <c r="H1199" i="1"/>
  <c r="G1199" i="1"/>
  <c r="H1198" i="1"/>
  <c r="G1198" i="1"/>
  <c r="H1197" i="1"/>
  <c r="G1197" i="1"/>
  <c r="H1196" i="1"/>
  <c r="G1196" i="1"/>
  <c r="H1195" i="1"/>
  <c r="G1195" i="1"/>
  <c r="H1194" i="1"/>
  <c r="G1194" i="1"/>
  <c r="H1192" i="1"/>
  <c r="G1192" i="1"/>
  <c r="H1189" i="1"/>
  <c r="G1189" i="1"/>
  <c r="H1188" i="1"/>
  <c r="G1188" i="1"/>
  <c r="H1187" i="1"/>
  <c r="G1187" i="1"/>
  <c r="H1186" i="1"/>
  <c r="G1186" i="1"/>
  <c r="H1185" i="1"/>
  <c r="G1185" i="1"/>
  <c r="H1184" i="1"/>
  <c r="G1184" i="1"/>
  <c r="H1183" i="1"/>
  <c r="G1183" i="1"/>
  <c r="H1182" i="1"/>
  <c r="G1182" i="1"/>
  <c r="H1181" i="1"/>
  <c r="G1181" i="1"/>
  <c r="H1180" i="1"/>
  <c r="G1180" i="1"/>
  <c r="H1179" i="1"/>
  <c r="G1179" i="1"/>
  <c r="H1178" i="1"/>
  <c r="G1178" i="1"/>
  <c r="H1177" i="1"/>
  <c r="G1177" i="1"/>
  <c r="H1176" i="1"/>
  <c r="G1176" i="1"/>
  <c r="H1175" i="1"/>
  <c r="G1175" i="1"/>
  <c r="H1174" i="1"/>
  <c r="G1174" i="1"/>
  <c r="H1173" i="1"/>
  <c r="G1173" i="1"/>
  <c r="H1172" i="1"/>
  <c r="G1172" i="1"/>
  <c r="H1171" i="1"/>
  <c r="G1171" i="1"/>
  <c r="H1170" i="1"/>
  <c r="G1170" i="1"/>
  <c r="H1169" i="1"/>
  <c r="G1169" i="1"/>
  <c r="H1168" i="1"/>
  <c r="G1168" i="1"/>
  <c r="H1167" i="1"/>
  <c r="G1167" i="1"/>
  <c r="H1166" i="1"/>
  <c r="G1166" i="1"/>
  <c r="H1165" i="1"/>
  <c r="G1165" i="1"/>
  <c r="H1164" i="1"/>
  <c r="G1164" i="1"/>
  <c r="H1163" i="1"/>
  <c r="G1163" i="1"/>
  <c r="H1162" i="1"/>
  <c r="G1162" i="1"/>
  <c r="H1161" i="1"/>
  <c r="G1161" i="1"/>
  <c r="H1160" i="1"/>
  <c r="G1160" i="1"/>
  <c r="H1159" i="1"/>
  <c r="G1159" i="1"/>
  <c r="H1158" i="1"/>
  <c r="G1158" i="1"/>
  <c r="H1157" i="1"/>
  <c r="G1157" i="1"/>
  <c r="H1156" i="1"/>
  <c r="G1156" i="1"/>
  <c r="H1155" i="1"/>
  <c r="G1155" i="1"/>
  <c r="H1154" i="1"/>
  <c r="G1154" i="1"/>
  <c r="H1153" i="1"/>
  <c r="G1153" i="1"/>
  <c r="H1152" i="1"/>
  <c r="G1152" i="1"/>
  <c r="H1151" i="1"/>
  <c r="G1151" i="1"/>
  <c r="H1150" i="1"/>
  <c r="G1150" i="1"/>
  <c r="H1149" i="1"/>
  <c r="G1149" i="1"/>
  <c r="H1148" i="1"/>
  <c r="G1148" i="1"/>
  <c r="H1147" i="1"/>
  <c r="G1147" i="1"/>
  <c r="H1146" i="1"/>
  <c r="G1146" i="1"/>
  <c r="H1145" i="1"/>
  <c r="G1145" i="1"/>
  <c r="H1144" i="1"/>
  <c r="G1144" i="1"/>
  <c r="H1143" i="1"/>
  <c r="G1143" i="1"/>
  <c r="H1142" i="1"/>
  <c r="G1142" i="1"/>
  <c r="H1141" i="1"/>
  <c r="G1141" i="1"/>
  <c r="H1140" i="1"/>
  <c r="G1140" i="1"/>
  <c r="H1139" i="1"/>
  <c r="G1139" i="1"/>
  <c r="H1138" i="1"/>
  <c r="G1138" i="1"/>
  <c r="H1137" i="1"/>
  <c r="G1137" i="1"/>
  <c r="H1136" i="1"/>
  <c r="G1136" i="1"/>
  <c r="H1135" i="1"/>
  <c r="G1135" i="1"/>
  <c r="H1134" i="1"/>
  <c r="G1134" i="1"/>
  <c r="H1133" i="1"/>
  <c r="G1133" i="1"/>
  <c r="H1132" i="1"/>
  <c r="G1132" i="1"/>
  <c r="H1131" i="1"/>
  <c r="G1131" i="1"/>
  <c r="H1130" i="1"/>
  <c r="G1130" i="1"/>
  <c r="H1129" i="1"/>
  <c r="G1129" i="1"/>
  <c r="H1128" i="1"/>
  <c r="G1128" i="1"/>
  <c r="H1127" i="1"/>
  <c r="G1127" i="1"/>
  <c r="H1126" i="1"/>
  <c r="G1126" i="1"/>
  <c r="H1125" i="1"/>
  <c r="G1125" i="1"/>
  <c r="H1124" i="1"/>
  <c r="G1124" i="1"/>
  <c r="H1123" i="1"/>
  <c r="G1123" i="1"/>
  <c r="H1122" i="1"/>
  <c r="G1122" i="1"/>
  <c r="H1121" i="1"/>
  <c r="G1121" i="1"/>
  <c r="H1120" i="1"/>
  <c r="G1120" i="1"/>
  <c r="H1119" i="1"/>
  <c r="G1119" i="1"/>
  <c r="H1118" i="1"/>
  <c r="G1118" i="1"/>
  <c r="H1117" i="1"/>
  <c r="G1117" i="1"/>
  <c r="H1116" i="1"/>
  <c r="G1116" i="1"/>
  <c r="H1115" i="1"/>
  <c r="G1115" i="1"/>
  <c r="H1114" i="1"/>
  <c r="G1114" i="1"/>
  <c r="H1113" i="1"/>
  <c r="G1113" i="1"/>
  <c r="H1112" i="1"/>
  <c r="G1112" i="1"/>
  <c r="H1111" i="1"/>
  <c r="G1111" i="1"/>
  <c r="H1110" i="1"/>
  <c r="G1110" i="1"/>
  <c r="H1109" i="1"/>
  <c r="G1109" i="1"/>
  <c r="H1108" i="1"/>
  <c r="G1108" i="1"/>
  <c r="H1107" i="1"/>
  <c r="G1107" i="1"/>
  <c r="H1106" i="1"/>
  <c r="G1106" i="1"/>
  <c r="H1105" i="1"/>
  <c r="G1105" i="1"/>
  <c r="H1104" i="1"/>
  <c r="G1104" i="1"/>
  <c r="H1103" i="1"/>
  <c r="G1103" i="1"/>
  <c r="H1102" i="1"/>
  <c r="G1102" i="1"/>
  <c r="H1101" i="1"/>
  <c r="G1101" i="1"/>
  <c r="H1100" i="1"/>
  <c r="G1100" i="1"/>
  <c r="H1099" i="1"/>
  <c r="G1099" i="1"/>
  <c r="H1098" i="1"/>
  <c r="G1098" i="1"/>
  <c r="H1097" i="1"/>
  <c r="G1097" i="1"/>
  <c r="H1096" i="1"/>
  <c r="G1096" i="1"/>
  <c r="H1095" i="1"/>
  <c r="G1095" i="1"/>
  <c r="H1094" i="1"/>
  <c r="G1094" i="1"/>
  <c r="H1093" i="1"/>
  <c r="G1093" i="1"/>
  <c r="H1092" i="1"/>
  <c r="G1092" i="1"/>
  <c r="H1091" i="1"/>
  <c r="G1091" i="1"/>
  <c r="H1090" i="1"/>
  <c r="G1090" i="1"/>
  <c r="H1089" i="1"/>
  <c r="G1089" i="1"/>
  <c r="H1088" i="1"/>
  <c r="G1088" i="1"/>
  <c r="H1087" i="1"/>
  <c r="G1087" i="1"/>
  <c r="H1086" i="1"/>
  <c r="G1086" i="1"/>
  <c r="H1085" i="1"/>
  <c r="G1085" i="1"/>
  <c r="H1084" i="1"/>
  <c r="G1084" i="1"/>
  <c r="H1083" i="1"/>
  <c r="G1083" i="1"/>
  <c r="H1082" i="1"/>
  <c r="G1082" i="1"/>
  <c r="H1081" i="1"/>
  <c r="G1081" i="1"/>
  <c r="H1080" i="1"/>
  <c r="G1080" i="1"/>
  <c r="H1079" i="1"/>
  <c r="G1079" i="1"/>
  <c r="H1078" i="1"/>
  <c r="G1078" i="1"/>
  <c r="H1077" i="1"/>
  <c r="G1077" i="1"/>
  <c r="H1076" i="1"/>
  <c r="G1076" i="1"/>
  <c r="H1075" i="1"/>
  <c r="G1075" i="1"/>
  <c r="H1074" i="1"/>
  <c r="G1074" i="1"/>
  <c r="H1073" i="1"/>
  <c r="G1073" i="1"/>
  <c r="H1072" i="1"/>
  <c r="G1072" i="1"/>
  <c r="H1071" i="1"/>
  <c r="G1071" i="1"/>
  <c r="H1070" i="1"/>
  <c r="G1070" i="1"/>
  <c r="H1069" i="1"/>
  <c r="G1069" i="1"/>
  <c r="H1068" i="1"/>
  <c r="G1068" i="1"/>
  <c r="H1067" i="1"/>
  <c r="G1067" i="1"/>
  <c r="H1066" i="1"/>
  <c r="G1066" i="1"/>
  <c r="H1065" i="1"/>
  <c r="G1065" i="1"/>
  <c r="H1064" i="1"/>
  <c r="G1064" i="1"/>
  <c r="H1063" i="1"/>
  <c r="G1063" i="1"/>
  <c r="H1062" i="1"/>
  <c r="G1062" i="1"/>
  <c r="H1061" i="1"/>
  <c r="G1061" i="1"/>
  <c r="H1060" i="1"/>
  <c r="G1060" i="1"/>
  <c r="H1059" i="1"/>
  <c r="G1059" i="1"/>
  <c r="H1058" i="1"/>
  <c r="G1058" i="1"/>
  <c r="H1057" i="1"/>
  <c r="G1057" i="1"/>
  <c r="H1056" i="1"/>
  <c r="G1056" i="1"/>
  <c r="H1055" i="1"/>
  <c r="G1055" i="1"/>
  <c r="H1054" i="1"/>
  <c r="G1054" i="1"/>
  <c r="H1053" i="1"/>
  <c r="G1053" i="1"/>
  <c r="H1052" i="1"/>
  <c r="G1052" i="1"/>
  <c r="H1051" i="1"/>
  <c r="G1051" i="1"/>
  <c r="H1050" i="1"/>
  <c r="G1050" i="1"/>
  <c r="H1049" i="1"/>
  <c r="G1049" i="1"/>
  <c r="H1048" i="1"/>
  <c r="G1048" i="1"/>
  <c r="H1047" i="1"/>
  <c r="G1047" i="1"/>
  <c r="H1046" i="1"/>
  <c r="G1046" i="1"/>
  <c r="H1045" i="1"/>
  <c r="G1045" i="1"/>
  <c r="H1044" i="1"/>
  <c r="G1044" i="1"/>
  <c r="H1043" i="1"/>
  <c r="G1043" i="1"/>
  <c r="H1042" i="1"/>
  <c r="G1042" i="1"/>
  <c r="H1041" i="1"/>
  <c r="G1041" i="1"/>
  <c r="H1040" i="1"/>
  <c r="G1040" i="1"/>
  <c r="H1039" i="1"/>
  <c r="G1039" i="1"/>
  <c r="H1038" i="1"/>
  <c r="G1038" i="1"/>
  <c r="H1037" i="1"/>
  <c r="G1037" i="1"/>
  <c r="H1036" i="1"/>
  <c r="G1036" i="1"/>
  <c r="H1035" i="1"/>
  <c r="G1035" i="1"/>
  <c r="H1034" i="1"/>
  <c r="G1034" i="1"/>
  <c r="H1033" i="1"/>
  <c r="G1033" i="1"/>
  <c r="H1032" i="1"/>
  <c r="G1032" i="1"/>
  <c r="H1031" i="1"/>
  <c r="G1031" i="1"/>
  <c r="H1030" i="1"/>
  <c r="G1030" i="1"/>
  <c r="H1029" i="1"/>
  <c r="G1029" i="1"/>
  <c r="H1028" i="1"/>
  <c r="G1028" i="1"/>
  <c r="H1027" i="1"/>
  <c r="G1027" i="1"/>
  <c r="H1026" i="1"/>
  <c r="G1026" i="1"/>
  <c r="H1025" i="1"/>
  <c r="G1025" i="1"/>
  <c r="H1024" i="1"/>
  <c r="G1024" i="1"/>
  <c r="H1023" i="1"/>
  <c r="G1023" i="1"/>
  <c r="H1022" i="1"/>
  <c r="G1022" i="1"/>
  <c r="H1021" i="1"/>
  <c r="G1021" i="1"/>
  <c r="H1020" i="1"/>
  <c r="G1020" i="1"/>
  <c r="H1019" i="1"/>
  <c r="G1019" i="1"/>
  <c r="H1018" i="1"/>
  <c r="G1018" i="1"/>
  <c r="H1017" i="1"/>
  <c r="G1017" i="1"/>
  <c r="H1016" i="1"/>
  <c r="G1016" i="1"/>
  <c r="H1015" i="1"/>
  <c r="G1015" i="1"/>
  <c r="H1014" i="1"/>
  <c r="G1014" i="1"/>
  <c r="H1013" i="1"/>
  <c r="G1013" i="1"/>
  <c r="H1012" i="1"/>
  <c r="G1012" i="1"/>
  <c r="H1011" i="1"/>
  <c r="G1011" i="1"/>
  <c r="H1010" i="1"/>
  <c r="G1010" i="1"/>
  <c r="H1009" i="1"/>
  <c r="G1009" i="1"/>
  <c r="H1008" i="1"/>
  <c r="G1008" i="1"/>
  <c r="H1007" i="1"/>
  <c r="G1007" i="1"/>
  <c r="H1006" i="1"/>
  <c r="G1006" i="1"/>
  <c r="H1005" i="1"/>
  <c r="G1005" i="1"/>
  <c r="H1004" i="1"/>
  <c r="G1004" i="1"/>
  <c r="H1003" i="1"/>
  <c r="G1003" i="1"/>
  <c r="H1002" i="1"/>
  <c r="G1002" i="1"/>
  <c r="H1001" i="1"/>
  <c r="G1001" i="1"/>
  <c r="H1000" i="1"/>
  <c r="G1000" i="1"/>
  <c r="H999" i="1"/>
  <c r="G999" i="1"/>
  <c r="H998" i="1"/>
  <c r="G998" i="1"/>
  <c r="H997" i="1"/>
  <c r="G997" i="1"/>
  <c r="H996" i="1"/>
  <c r="G996" i="1"/>
  <c r="H995" i="1"/>
  <c r="G995" i="1"/>
  <c r="H994" i="1"/>
  <c r="G994" i="1"/>
  <c r="H993" i="1"/>
  <c r="G993" i="1"/>
  <c r="H992" i="1"/>
  <c r="G992" i="1"/>
  <c r="H991" i="1"/>
  <c r="G991" i="1"/>
  <c r="H990" i="1"/>
  <c r="G990" i="1"/>
  <c r="H989" i="1"/>
  <c r="G989" i="1"/>
  <c r="H988" i="1"/>
  <c r="G988" i="1"/>
  <c r="H987" i="1"/>
  <c r="G987" i="1"/>
  <c r="H986" i="1"/>
  <c r="G986" i="1"/>
  <c r="H985" i="1"/>
  <c r="G985" i="1"/>
  <c r="H984" i="1"/>
  <c r="G984" i="1"/>
  <c r="H983" i="1"/>
  <c r="G983" i="1"/>
  <c r="H982" i="1"/>
  <c r="G982" i="1"/>
  <c r="H981" i="1"/>
  <c r="G981" i="1"/>
  <c r="H980" i="1"/>
  <c r="G980" i="1"/>
  <c r="H979" i="1"/>
  <c r="G979" i="1"/>
  <c r="H978" i="1"/>
  <c r="G978" i="1"/>
  <c r="H977" i="1"/>
  <c r="G977" i="1"/>
  <c r="H976" i="1"/>
  <c r="G976" i="1"/>
  <c r="H975" i="1"/>
  <c r="G975" i="1"/>
  <c r="H974" i="1"/>
  <c r="G974" i="1"/>
  <c r="H973" i="1"/>
  <c r="G973" i="1"/>
  <c r="H972" i="1"/>
  <c r="G972" i="1"/>
  <c r="H971" i="1"/>
  <c r="G971" i="1"/>
  <c r="H970" i="1"/>
  <c r="G970" i="1"/>
  <c r="H969" i="1"/>
  <c r="G969" i="1"/>
  <c r="H968" i="1"/>
  <c r="G968" i="1"/>
  <c r="H967" i="1"/>
  <c r="G967" i="1"/>
  <c r="H966" i="1"/>
  <c r="G966" i="1"/>
  <c r="H965" i="1"/>
  <c r="G965" i="1"/>
  <c r="H964" i="1"/>
  <c r="G964" i="1"/>
  <c r="H963" i="1"/>
  <c r="G963" i="1"/>
  <c r="H962" i="1"/>
  <c r="G962" i="1"/>
  <c r="H961" i="1"/>
  <c r="G961" i="1"/>
  <c r="H960" i="1"/>
  <c r="G960" i="1"/>
  <c r="H959" i="1"/>
  <c r="G959" i="1"/>
  <c r="H958" i="1"/>
  <c r="G958" i="1"/>
  <c r="H957" i="1"/>
  <c r="G957" i="1"/>
  <c r="H956" i="1"/>
  <c r="G956" i="1"/>
  <c r="H955" i="1"/>
  <c r="G955" i="1"/>
  <c r="H954" i="1"/>
  <c r="G954" i="1"/>
  <c r="H953" i="1"/>
  <c r="G953" i="1"/>
  <c r="H952" i="1"/>
  <c r="G952" i="1"/>
  <c r="H951" i="1"/>
  <c r="G951" i="1"/>
  <c r="H950" i="1"/>
  <c r="G950" i="1"/>
  <c r="H948" i="1"/>
  <c r="G948" i="1"/>
  <c r="H947" i="1"/>
  <c r="G947" i="1"/>
  <c r="H946" i="1"/>
  <c r="G946" i="1"/>
  <c r="H945" i="1"/>
  <c r="G945" i="1"/>
  <c r="H944" i="1"/>
  <c r="G944" i="1"/>
  <c r="H943" i="1"/>
  <c r="G943" i="1"/>
  <c r="H942" i="1"/>
  <c r="G942" i="1"/>
  <c r="H941" i="1"/>
  <c r="G941" i="1"/>
  <c r="H940" i="1"/>
  <c r="G940" i="1"/>
  <c r="H939" i="1"/>
  <c r="G939" i="1"/>
  <c r="H938" i="1"/>
  <c r="G938" i="1"/>
  <c r="H937" i="1"/>
  <c r="G937" i="1"/>
  <c r="H936" i="1"/>
  <c r="G936" i="1"/>
  <c r="H935" i="1"/>
  <c r="G935" i="1"/>
  <c r="H934" i="1"/>
  <c r="G934" i="1"/>
  <c r="H933" i="1"/>
  <c r="G933" i="1"/>
  <c r="H932" i="1"/>
  <c r="G932" i="1"/>
  <c r="H931" i="1"/>
  <c r="G931" i="1"/>
  <c r="H930" i="1"/>
  <c r="G930" i="1"/>
  <c r="H929" i="1"/>
  <c r="G929" i="1"/>
  <c r="H928" i="1"/>
  <c r="G928" i="1"/>
  <c r="H927" i="1"/>
  <c r="G927" i="1"/>
  <c r="H926" i="1"/>
  <c r="G926" i="1"/>
  <c r="H925" i="1"/>
  <c r="G925" i="1"/>
  <c r="H924" i="1"/>
  <c r="G924" i="1"/>
  <c r="H923" i="1"/>
  <c r="G923" i="1"/>
  <c r="H922" i="1"/>
  <c r="G922" i="1"/>
  <c r="H921" i="1"/>
  <c r="G921" i="1"/>
  <c r="H920" i="1"/>
  <c r="G920" i="1"/>
  <c r="H919" i="1"/>
  <c r="G919" i="1"/>
  <c r="H918" i="1"/>
  <c r="G918" i="1"/>
  <c r="H917" i="1"/>
  <c r="G917" i="1"/>
  <c r="H916" i="1"/>
  <c r="G916" i="1"/>
  <c r="H915" i="1"/>
  <c r="G915" i="1"/>
  <c r="H914" i="1"/>
  <c r="G914" i="1"/>
  <c r="H913" i="1"/>
  <c r="G913" i="1"/>
  <c r="H912" i="1"/>
  <c r="G912" i="1"/>
  <c r="H911" i="1"/>
  <c r="G911" i="1"/>
  <c r="H910" i="1"/>
  <c r="G910" i="1"/>
  <c r="H909" i="1"/>
  <c r="G909" i="1"/>
  <c r="H908" i="1"/>
  <c r="G908" i="1"/>
  <c r="H907" i="1"/>
  <c r="G907" i="1"/>
  <c r="H906" i="1"/>
  <c r="G906" i="1"/>
  <c r="H905" i="1"/>
  <c r="G905" i="1"/>
  <c r="H904" i="1"/>
  <c r="G904" i="1"/>
  <c r="H903" i="1"/>
  <c r="G903" i="1"/>
  <c r="H902" i="1"/>
  <c r="G902" i="1"/>
  <c r="H901" i="1"/>
  <c r="G901" i="1"/>
  <c r="H900" i="1"/>
  <c r="G900" i="1"/>
  <c r="H899" i="1"/>
  <c r="G899" i="1"/>
  <c r="H898" i="1"/>
  <c r="G898" i="1"/>
  <c r="H897" i="1"/>
  <c r="G897" i="1"/>
  <c r="H896" i="1"/>
  <c r="G896" i="1"/>
  <c r="H895" i="1"/>
  <c r="G895" i="1"/>
  <c r="H894" i="1"/>
  <c r="G894" i="1"/>
  <c r="H893" i="1"/>
  <c r="G893" i="1"/>
  <c r="H892" i="1"/>
  <c r="G892" i="1"/>
  <c r="H891" i="1"/>
  <c r="G891" i="1"/>
  <c r="H890" i="1"/>
  <c r="G890" i="1"/>
  <c r="H889" i="1"/>
  <c r="G889" i="1"/>
  <c r="H888" i="1"/>
  <c r="G888" i="1"/>
  <c r="H887" i="1"/>
  <c r="G887" i="1"/>
  <c r="H886" i="1"/>
  <c r="G886" i="1"/>
  <c r="H885" i="1"/>
  <c r="G885" i="1"/>
  <c r="H884" i="1"/>
  <c r="G884" i="1"/>
  <c r="H883" i="1"/>
  <c r="G883" i="1"/>
  <c r="H882" i="1"/>
  <c r="G882" i="1"/>
  <c r="H881" i="1"/>
  <c r="G881" i="1"/>
  <c r="H880" i="1"/>
  <c r="G880" i="1"/>
  <c r="H879" i="1"/>
  <c r="G879" i="1"/>
  <c r="H878" i="1"/>
  <c r="G878" i="1"/>
  <c r="H877" i="1"/>
  <c r="G877" i="1"/>
  <c r="H876" i="1"/>
  <c r="G876" i="1"/>
  <c r="H875" i="1"/>
  <c r="G875" i="1"/>
  <c r="H874" i="1"/>
  <c r="G874" i="1"/>
  <c r="H873" i="1"/>
  <c r="G873" i="1"/>
  <c r="H872" i="1"/>
  <c r="G872" i="1"/>
  <c r="H871" i="1"/>
  <c r="G871" i="1"/>
  <c r="H870" i="1"/>
  <c r="G870" i="1"/>
  <c r="H869" i="1"/>
  <c r="G869" i="1"/>
  <c r="H868" i="1"/>
  <c r="G868" i="1"/>
  <c r="H867" i="1"/>
  <c r="G867" i="1"/>
  <c r="H866" i="1"/>
  <c r="G866" i="1"/>
  <c r="H865" i="1"/>
  <c r="G865" i="1"/>
  <c r="H864" i="1"/>
  <c r="G864" i="1"/>
  <c r="H863" i="1"/>
  <c r="G863" i="1"/>
  <c r="H862" i="1"/>
  <c r="G862" i="1"/>
  <c r="H861" i="1"/>
  <c r="G861" i="1"/>
  <c r="H860" i="1"/>
  <c r="G860" i="1"/>
  <c r="H859" i="1"/>
  <c r="G859" i="1"/>
  <c r="H858" i="1"/>
  <c r="G858" i="1"/>
  <c r="H857" i="1"/>
  <c r="G857" i="1"/>
  <c r="H856" i="1"/>
  <c r="G856" i="1"/>
  <c r="H855" i="1"/>
  <c r="G855" i="1"/>
  <c r="H854" i="1"/>
  <c r="G854" i="1"/>
  <c r="H853" i="1"/>
  <c r="G853" i="1"/>
  <c r="H852" i="1"/>
  <c r="G852" i="1"/>
  <c r="H851" i="1"/>
  <c r="G851" i="1"/>
  <c r="H850" i="1"/>
  <c r="G850" i="1"/>
  <c r="H849" i="1"/>
  <c r="G849" i="1"/>
  <c r="H848" i="1"/>
  <c r="G848" i="1"/>
  <c r="H847" i="1"/>
  <c r="G847" i="1"/>
  <c r="H846" i="1"/>
  <c r="G846" i="1"/>
  <c r="H845" i="1"/>
  <c r="G845" i="1"/>
  <c r="H844" i="1"/>
  <c r="G844" i="1"/>
  <c r="H843" i="1"/>
  <c r="G843" i="1"/>
  <c r="H842" i="1"/>
  <c r="G842" i="1"/>
  <c r="H841" i="1"/>
  <c r="G841" i="1"/>
  <c r="H840" i="1"/>
  <c r="G840" i="1"/>
  <c r="H839" i="1"/>
  <c r="G839" i="1"/>
  <c r="H838" i="1"/>
  <c r="G838" i="1"/>
  <c r="H837" i="1"/>
  <c r="G837" i="1"/>
  <c r="H836" i="1"/>
  <c r="G836" i="1"/>
  <c r="H835" i="1"/>
  <c r="G835" i="1"/>
  <c r="H834" i="1"/>
  <c r="G834" i="1"/>
  <c r="H833" i="1"/>
  <c r="G833" i="1"/>
  <c r="H832" i="1"/>
  <c r="G832" i="1"/>
  <c r="H831" i="1"/>
  <c r="G831" i="1"/>
  <c r="H830" i="1"/>
  <c r="G830" i="1"/>
  <c r="H829" i="1"/>
  <c r="G829" i="1"/>
  <c r="H828" i="1"/>
  <c r="G828" i="1"/>
  <c r="H827" i="1"/>
  <c r="G827" i="1"/>
  <c r="H826" i="1"/>
  <c r="G826" i="1"/>
  <c r="H825" i="1"/>
  <c r="G825" i="1"/>
  <c r="H824" i="1"/>
  <c r="G824" i="1"/>
  <c r="H823" i="1"/>
  <c r="G823" i="1"/>
  <c r="H822" i="1"/>
  <c r="G822" i="1"/>
  <c r="H821" i="1"/>
  <c r="G821" i="1"/>
  <c r="H820" i="1"/>
  <c r="G820" i="1"/>
  <c r="H819" i="1"/>
  <c r="G819" i="1"/>
  <c r="H818" i="1"/>
  <c r="G818" i="1"/>
  <c r="H817" i="1"/>
  <c r="G817" i="1"/>
  <c r="H816" i="1"/>
  <c r="G816" i="1"/>
  <c r="H815" i="1"/>
  <c r="G815" i="1"/>
  <c r="H814" i="1"/>
  <c r="G814" i="1"/>
  <c r="H813" i="1"/>
  <c r="G813" i="1"/>
  <c r="H812" i="1"/>
  <c r="G812" i="1"/>
  <c r="H811" i="1"/>
  <c r="G811" i="1"/>
  <c r="H810" i="1"/>
  <c r="G810" i="1"/>
  <c r="H809" i="1"/>
  <c r="G809" i="1"/>
  <c r="H808" i="1"/>
  <c r="G808" i="1"/>
  <c r="H807" i="1"/>
  <c r="G807" i="1"/>
  <c r="H806" i="1"/>
  <c r="G806" i="1"/>
  <c r="H805" i="1"/>
  <c r="G805" i="1"/>
  <c r="H804" i="1"/>
  <c r="G804" i="1"/>
  <c r="H803" i="1"/>
  <c r="G803" i="1"/>
  <c r="H802" i="1"/>
  <c r="G802" i="1"/>
  <c r="H801" i="1"/>
  <c r="G801" i="1"/>
  <c r="H800" i="1"/>
  <c r="G800" i="1"/>
  <c r="H799" i="1"/>
  <c r="G799" i="1"/>
  <c r="H798" i="1"/>
  <c r="G798" i="1"/>
  <c r="H797" i="1"/>
  <c r="G797" i="1"/>
  <c r="H796" i="1"/>
  <c r="G796" i="1"/>
  <c r="H795" i="1"/>
  <c r="G795" i="1"/>
  <c r="H794" i="1"/>
  <c r="G794" i="1"/>
  <c r="H793" i="1"/>
  <c r="G793" i="1"/>
  <c r="H792" i="1"/>
  <c r="G792" i="1"/>
  <c r="H791" i="1"/>
  <c r="G791" i="1"/>
  <c r="H790" i="1"/>
  <c r="G790" i="1"/>
  <c r="H789" i="1"/>
  <c r="G789" i="1"/>
  <c r="H788" i="1"/>
  <c r="G788" i="1"/>
  <c r="H787" i="1"/>
  <c r="G787" i="1"/>
  <c r="H786" i="1"/>
  <c r="G786" i="1"/>
  <c r="H785" i="1"/>
  <c r="G785" i="1"/>
  <c r="H784" i="1"/>
  <c r="G784" i="1"/>
  <c r="H783" i="1"/>
  <c r="G783" i="1"/>
  <c r="H782" i="1"/>
  <c r="G782" i="1"/>
  <c r="H781" i="1"/>
  <c r="G781" i="1"/>
  <c r="H780" i="1"/>
  <c r="G780" i="1"/>
  <c r="H779" i="1"/>
  <c r="G779" i="1"/>
  <c r="H778" i="1"/>
  <c r="G778" i="1"/>
  <c r="H777" i="1"/>
  <c r="G777" i="1"/>
  <c r="H776" i="1"/>
  <c r="G776" i="1"/>
  <c r="H775" i="1"/>
  <c r="G775" i="1"/>
  <c r="H774" i="1"/>
  <c r="G774" i="1"/>
  <c r="H773" i="1"/>
  <c r="G773" i="1"/>
  <c r="H772" i="1"/>
  <c r="G772" i="1"/>
  <c r="H771" i="1"/>
  <c r="G771" i="1"/>
  <c r="H770" i="1"/>
  <c r="G770" i="1"/>
  <c r="H769" i="1"/>
  <c r="G769" i="1"/>
  <c r="H768" i="1"/>
  <c r="G768" i="1"/>
  <c r="H767" i="1"/>
  <c r="G767" i="1"/>
  <c r="H766" i="1"/>
  <c r="G766" i="1"/>
  <c r="H765" i="1"/>
  <c r="G765" i="1"/>
  <c r="H764" i="1"/>
  <c r="G764" i="1"/>
  <c r="H763" i="1"/>
  <c r="G763" i="1"/>
  <c r="H762" i="1"/>
  <c r="G762" i="1"/>
  <c r="H761" i="1"/>
  <c r="G761" i="1"/>
  <c r="H760" i="1"/>
  <c r="G760" i="1"/>
  <c r="H759" i="1"/>
  <c r="G759" i="1"/>
  <c r="H758" i="1"/>
  <c r="G758" i="1"/>
  <c r="H757" i="1"/>
  <c r="G757" i="1"/>
  <c r="H756" i="1"/>
  <c r="G756" i="1"/>
  <c r="H755" i="1"/>
  <c r="G755" i="1"/>
  <c r="H754" i="1"/>
  <c r="G754" i="1"/>
  <c r="H753" i="1"/>
  <c r="G753" i="1"/>
  <c r="H752" i="1"/>
  <c r="G752" i="1"/>
  <c r="H751" i="1"/>
  <c r="G751" i="1"/>
  <c r="H750" i="1"/>
  <c r="G750" i="1"/>
  <c r="H749" i="1"/>
  <c r="G749" i="1"/>
  <c r="H748" i="1"/>
  <c r="G748" i="1"/>
  <c r="H747" i="1"/>
  <c r="G747" i="1"/>
  <c r="H746" i="1"/>
  <c r="G746" i="1"/>
  <c r="H745" i="1"/>
  <c r="G745" i="1"/>
  <c r="H744" i="1"/>
  <c r="G744" i="1"/>
  <c r="H743" i="1"/>
  <c r="G743" i="1"/>
  <c r="H742" i="1"/>
  <c r="G742" i="1"/>
  <c r="H741" i="1"/>
  <c r="G741" i="1"/>
  <c r="H740" i="1"/>
  <c r="G740" i="1"/>
  <c r="H739" i="1"/>
  <c r="G739" i="1"/>
  <c r="H738" i="1"/>
  <c r="G738" i="1"/>
  <c r="H737" i="1"/>
  <c r="G737" i="1"/>
  <c r="H736" i="1"/>
  <c r="G736" i="1"/>
  <c r="H735" i="1"/>
  <c r="G735" i="1"/>
  <c r="H734" i="1"/>
  <c r="G734" i="1"/>
  <c r="H733" i="1"/>
  <c r="G733" i="1"/>
  <c r="H731" i="1"/>
  <c r="G731" i="1"/>
  <c r="H730" i="1"/>
  <c r="G730" i="1"/>
  <c r="H729" i="1"/>
  <c r="G729" i="1"/>
  <c r="H728" i="1"/>
  <c r="G728" i="1"/>
  <c r="H727" i="1"/>
  <c r="G727" i="1"/>
  <c r="H726" i="1"/>
  <c r="G726" i="1"/>
  <c r="H725" i="1"/>
  <c r="G725" i="1"/>
  <c r="H724" i="1"/>
  <c r="G724" i="1"/>
  <c r="H723" i="1"/>
  <c r="G723" i="1"/>
  <c r="H722" i="1"/>
  <c r="G722" i="1"/>
  <c r="H721" i="1"/>
  <c r="G721" i="1"/>
  <c r="H720" i="1"/>
  <c r="G720" i="1"/>
  <c r="H719" i="1"/>
  <c r="G719" i="1"/>
  <c r="H718" i="1"/>
  <c r="G718" i="1"/>
  <c r="H717" i="1"/>
  <c r="G717" i="1"/>
  <c r="H716" i="1"/>
  <c r="G716" i="1"/>
  <c r="H715" i="1"/>
  <c r="G715" i="1"/>
  <c r="H714" i="1"/>
  <c r="G714" i="1"/>
  <c r="H713" i="1"/>
  <c r="G713" i="1"/>
  <c r="H712" i="1"/>
  <c r="G712" i="1"/>
  <c r="H711" i="1"/>
  <c r="G711" i="1"/>
  <c r="H710" i="1"/>
  <c r="G710" i="1"/>
  <c r="H709" i="1"/>
  <c r="G709" i="1"/>
  <c r="H708" i="1"/>
  <c r="G708" i="1"/>
  <c r="H707" i="1"/>
  <c r="G707" i="1"/>
  <c r="H706" i="1"/>
  <c r="G706" i="1"/>
  <c r="H705" i="1"/>
  <c r="G705" i="1"/>
  <c r="H704" i="1"/>
  <c r="G704" i="1"/>
  <c r="H703" i="1"/>
  <c r="G703" i="1"/>
  <c r="H702" i="1"/>
  <c r="G702" i="1"/>
  <c r="H701" i="1"/>
  <c r="G701" i="1"/>
  <c r="H700" i="1"/>
  <c r="G700" i="1"/>
  <c r="H699" i="1"/>
  <c r="G699" i="1"/>
  <c r="H698" i="1"/>
  <c r="G698" i="1"/>
  <c r="H697" i="1"/>
  <c r="G697" i="1"/>
  <c r="H696" i="1"/>
  <c r="G696" i="1"/>
  <c r="H695" i="1"/>
  <c r="G695" i="1"/>
  <c r="H694" i="1"/>
  <c r="G694" i="1"/>
  <c r="H693" i="1"/>
  <c r="G693" i="1"/>
  <c r="H692" i="1"/>
  <c r="G692" i="1"/>
  <c r="H691" i="1"/>
  <c r="G691" i="1"/>
  <c r="H690" i="1"/>
  <c r="G690" i="1"/>
  <c r="H689" i="1"/>
  <c r="G689" i="1"/>
  <c r="H688" i="1"/>
  <c r="G688" i="1"/>
  <c r="H687" i="1"/>
  <c r="G687" i="1"/>
  <c r="H686" i="1"/>
  <c r="G686" i="1"/>
  <c r="H685" i="1"/>
  <c r="G685" i="1"/>
  <c r="H684" i="1"/>
  <c r="G684" i="1"/>
  <c r="H683" i="1"/>
  <c r="G683" i="1"/>
  <c r="H682" i="1"/>
  <c r="G682" i="1"/>
  <c r="H681" i="1"/>
  <c r="G681" i="1"/>
  <c r="H680" i="1"/>
  <c r="G680" i="1"/>
  <c r="H679" i="1"/>
  <c r="G679" i="1"/>
  <c r="H678" i="1"/>
  <c r="G678" i="1"/>
  <c r="H677" i="1"/>
  <c r="G677" i="1"/>
  <c r="H676" i="1"/>
  <c r="G676" i="1"/>
  <c r="H675" i="1"/>
  <c r="G675" i="1"/>
  <c r="H674" i="1"/>
  <c r="G674" i="1"/>
  <c r="H673" i="1"/>
  <c r="G673" i="1"/>
  <c r="H672" i="1"/>
  <c r="G672" i="1"/>
  <c r="H671" i="1"/>
  <c r="G671" i="1"/>
  <c r="H670" i="1"/>
  <c r="G670" i="1"/>
  <c r="H669" i="1"/>
  <c r="G669" i="1"/>
  <c r="H668" i="1"/>
  <c r="G668" i="1"/>
  <c r="H667" i="1"/>
  <c r="G667" i="1"/>
  <c r="H666" i="1"/>
  <c r="G666" i="1"/>
  <c r="H665" i="1"/>
  <c r="G665" i="1"/>
  <c r="H664" i="1"/>
  <c r="G664" i="1"/>
  <c r="H663" i="1"/>
  <c r="G663" i="1"/>
  <c r="H662" i="1"/>
  <c r="G662" i="1"/>
  <c r="H661" i="1"/>
  <c r="G661" i="1"/>
  <c r="H660" i="1"/>
  <c r="G660" i="1"/>
  <c r="H659" i="1"/>
  <c r="G659" i="1"/>
  <c r="H658" i="1"/>
  <c r="G658" i="1"/>
  <c r="H657" i="1"/>
  <c r="G657" i="1"/>
  <c r="H656" i="1"/>
  <c r="G656" i="1"/>
  <c r="H655" i="1"/>
  <c r="G655" i="1"/>
  <c r="H654" i="1"/>
  <c r="G654" i="1"/>
  <c r="H653" i="1"/>
  <c r="G653" i="1"/>
  <c r="H652" i="1"/>
  <c r="G652" i="1"/>
  <c r="H651" i="1"/>
  <c r="G651" i="1"/>
  <c r="H650" i="1"/>
  <c r="G650" i="1"/>
  <c r="H649" i="1"/>
  <c r="G649" i="1"/>
  <c r="H648" i="1"/>
  <c r="G648" i="1"/>
  <c r="H647" i="1"/>
  <c r="G647" i="1"/>
  <c r="H646" i="1"/>
  <c r="G646" i="1"/>
  <c r="H645" i="1"/>
  <c r="G645" i="1"/>
  <c r="H644" i="1"/>
  <c r="G644" i="1"/>
  <c r="H643" i="1"/>
  <c r="G643" i="1"/>
  <c r="H642" i="1"/>
  <c r="G642" i="1"/>
  <c r="H641" i="1"/>
  <c r="G641" i="1"/>
  <c r="H640" i="1"/>
  <c r="G640" i="1"/>
  <c r="H639" i="1"/>
  <c r="G639" i="1"/>
  <c r="H638" i="1"/>
  <c r="G638" i="1"/>
  <c r="H637" i="1"/>
  <c r="G637" i="1"/>
  <c r="H636" i="1"/>
  <c r="G636" i="1"/>
  <c r="H635" i="1"/>
  <c r="G635" i="1"/>
  <c r="H634" i="1"/>
  <c r="G634" i="1"/>
  <c r="H633" i="1"/>
  <c r="G633" i="1"/>
  <c r="H632" i="1"/>
  <c r="G632" i="1"/>
  <c r="H631" i="1"/>
  <c r="G631" i="1"/>
  <c r="H630" i="1"/>
  <c r="G630" i="1"/>
  <c r="H629" i="1"/>
  <c r="G629" i="1"/>
  <c r="H628" i="1"/>
  <c r="G628" i="1"/>
  <c r="H627" i="1"/>
  <c r="G627" i="1"/>
  <c r="H626" i="1"/>
  <c r="G626" i="1"/>
  <c r="H625" i="1"/>
  <c r="G625" i="1"/>
  <c r="H624" i="1"/>
  <c r="G624" i="1"/>
  <c r="H623" i="1"/>
  <c r="G623" i="1"/>
  <c r="H622" i="1"/>
  <c r="G622" i="1"/>
  <c r="H621" i="1"/>
  <c r="G621" i="1"/>
  <c r="H620" i="1"/>
  <c r="G620" i="1"/>
  <c r="H619" i="1"/>
  <c r="G619" i="1"/>
  <c r="H618" i="1"/>
  <c r="G618" i="1"/>
  <c r="H617" i="1"/>
  <c r="G617" i="1"/>
  <c r="H616" i="1"/>
  <c r="G616" i="1"/>
  <c r="H615" i="1"/>
  <c r="G615" i="1"/>
  <c r="H614" i="1"/>
  <c r="G614" i="1"/>
  <c r="H613" i="1"/>
  <c r="G613" i="1"/>
  <c r="H612" i="1"/>
  <c r="G612" i="1"/>
  <c r="H611" i="1"/>
  <c r="G611" i="1"/>
  <c r="H610" i="1"/>
  <c r="G610" i="1"/>
  <c r="H609" i="1"/>
  <c r="G609" i="1"/>
  <c r="H608" i="1"/>
  <c r="G608" i="1"/>
  <c r="H607" i="1"/>
  <c r="G607" i="1"/>
  <c r="H606" i="1"/>
  <c r="G606" i="1"/>
  <c r="H605" i="1"/>
  <c r="G605" i="1"/>
  <c r="H604" i="1"/>
  <c r="G604" i="1"/>
  <c r="H603" i="1"/>
  <c r="G603" i="1"/>
  <c r="H602" i="1"/>
  <c r="G602" i="1"/>
  <c r="H601" i="1"/>
  <c r="G601" i="1"/>
  <c r="H600" i="1"/>
  <c r="G600" i="1"/>
  <c r="H599" i="1"/>
  <c r="G599" i="1"/>
  <c r="H598" i="1"/>
  <c r="G598" i="1"/>
  <c r="H597" i="1"/>
  <c r="G597" i="1"/>
  <c r="H596" i="1"/>
  <c r="G596" i="1"/>
  <c r="H595" i="1"/>
  <c r="G595" i="1"/>
  <c r="H594" i="1"/>
  <c r="G594" i="1"/>
  <c r="H593" i="1"/>
  <c r="G593" i="1"/>
  <c r="H592" i="1"/>
  <c r="G592" i="1"/>
  <c r="H591" i="1"/>
  <c r="G591" i="1"/>
  <c r="H590" i="1"/>
  <c r="G590" i="1"/>
  <c r="H589" i="1"/>
  <c r="G589" i="1"/>
  <c r="H588" i="1"/>
  <c r="G588" i="1"/>
  <c r="H587" i="1"/>
  <c r="G587" i="1"/>
  <c r="H586" i="1"/>
  <c r="G586" i="1"/>
  <c r="H585" i="1"/>
  <c r="G585" i="1"/>
  <c r="H584" i="1"/>
  <c r="G584" i="1"/>
  <c r="H583" i="1"/>
  <c r="G583" i="1"/>
  <c r="H582" i="1"/>
  <c r="G582" i="1"/>
  <c r="H581" i="1"/>
  <c r="G581" i="1"/>
  <c r="H580" i="1"/>
  <c r="G580" i="1"/>
  <c r="H579" i="1"/>
  <c r="G579" i="1"/>
  <c r="H578" i="1"/>
  <c r="G578" i="1"/>
  <c r="H577" i="1"/>
  <c r="G577" i="1"/>
  <c r="H576" i="1"/>
  <c r="G576" i="1"/>
  <c r="H575" i="1"/>
  <c r="G575" i="1"/>
  <c r="H574" i="1"/>
  <c r="G574" i="1"/>
  <c r="H573" i="1"/>
  <c r="G573" i="1"/>
  <c r="H572" i="1"/>
  <c r="G572" i="1"/>
  <c r="H571" i="1"/>
  <c r="G571" i="1"/>
  <c r="H570" i="1"/>
  <c r="G570" i="1"/>
  <c r="H569" i="1"/>
  <c r="G569" i="1"/>
  <c r="H568" i="1"/>
  <c r="G568" i="1"/>
  <c r="H567" i="1"/>
  <c r="G567" i="1"/>
  <c r="H566" i="1"/>
  <c r="G566" i="1"/>
  <c r="H565" i="1"/>
  <c r="G565" i="1"/>
  <c r="H564" i="1"/>
  <c r="G564" i="1"/>
  <c r="H563" i="1"/>
  <c r="G563" i="1"/>
  <c r="H562" i="1"/>
  <c r="G562" i="1"/>
  <c r="H561" i="1"/>
  <c r="G561" i="1"/>
  <c r="H560" i="1"/>
  <c r="G560" i="1"/>
  <c r="H559" i="1"/>
  <c r="G559" i="1"/>
  <c r="H558" i="1"/>
  <c r="G558" i="1"/>
  <c r="H557" i="1"/>
  <c r="G557" i="1"/>
  <c r="H556" i="1"/>
  <c r="G556" i="1"/>
  <c r="H555" i="1"/>
  <c r="G555" i="1"/>
  <c r="H554" i="1"/>
  <c r="G554" i="1"/>
  <c r="H553" i="1"/>
  <c r="G553" i="1"/>
  <c r="H552" i="1"/>
  <c r="G552" i="1"/>
  <c r="H551" i="1"/>
  <c r="G551" i="1"/>
  <c r="H550" i="1"/>
  <c r="G550" i="1"/>
  <c r="H549" i="1"/>
  <c r="G549" i="1"/>
  <c r="H548" i="1"/>
  <c r="G548" i="1"/>
  <c r="H547" i="1"/>
  <c r="G547" i="1"/>
  <c r="H546" i="1"/>
  <c r="G546" i="1"/>
  <c r="H545" i="1"/>
  <c r="G545" i="1"/>
  <c r="H544" i="1"/>
  <c r="G544" i="1"/>
  <c r="H543" i="1"/>
  <c r="G543" i="1"/>
  <c r="H542" i="1"/>
  <c r="G542" i="1"/>
  <c r="H541" i="1"/>
  <c r="G541" i="1"/>
  <c r="H540" i="1"/>
  <c r="G540" i="1"/>
  <c r="H539" i="1"/>
  <c r="G539" i="1"/>
  <c r="H538" i="1"/>
  <c r="G538" i="1"/>
  <c r="H537" i="1"/>
  <c r="G537" i="1"/>
  <c r="H536" i="1"/>
  <c r="G536" i="1"/>
  <c r="H535" i="1"/>
  <c r="G535" i="1"/>
  <c r="H534" i="1"/>
  <c r="G534" i="1"/>
  <c r="H533" i="1"/>
  <c r="G533" i="1"/>
  <c r="H532" i="1"/>
  <c r="G532" i="1"/>
  <c r="H531" i="1"/>
  <c r="G531" i="1"/>
  <c r="H530" i="1"/>
  <c r="G530" i="1"/>
  <c r="H529" i="1"/>
  <c r="G529" i="1"/>
  <c r="H528" i="1"/>
  <c r="G528" i="1"/>
  <c r="H527" i="1"/>
  <c r="G527" i="1"/>
  <c r="H526" i="1"/>
  <c r="G526" i="1"/>
  <c r="H525" i="1"/>
  <c r="G525" i="1"/>
  <c r="H524" i="1"/>
  <c r="G524" i="1"/>
  <c r="H523" i="1"/>
  <c r="G523" i="1"/>
  <c r="H522" i="1"/>
  <c r="G522" i="1"/>
  <c r="H521" i="1"/>
  <c r="G521" i="1"/>
  <c r="H520" i="1"/>
  <c r="G520" i="1"/>
  <c r="H519" i="1"/>
  <c r="G519" i="1"/>
  <c r="H518" i="1"/>
  <c r="G518" i="1"/>
  <c r="H517" i="1"/>
  <c r="G517" i="1"/>
  <c r="H516" i="1"/>
  <c r="G516" i="1"/>
  <c r="H515" i="1"/>
  <c r="G515" i="1"/>
  <c r="H514" i="1"/>
  <c r="G514" i="1"/>
  <c r="H512" i="1"/>
  <c r="G512" i="1"/>
  <c r="H511" i="1"/>
  <c r="G511" i="1"/>
  <c r="H510" i="1"/>
  <c r="G510" i="1"/>
  <c r="H509" i="1"/>
  <c r="G509" i="1"/>
  <c r="H508" i="1"/>
  <c r="G508" i="1"/>
  <c r="H505" i="1"/>
  <c r="G505" i="1"/>
  <c r="H504" i="1"/>
  <c r="G504" i="1"/>
  <c r="H503" i="1"/>
  <c r="G503" i="1"/>
  <c r="H502" i="1"/>
  <c r="G502" i="1"/>
  <c r="H501" i="1"/>
  <c r="G501" i="1"/>
  <c r="H500" i="1"/>
  <c r="G500" i="1"/>
  <c r="H499" i="1"/>
  <c r="G499" i="1"/>
  <c r="H498" i="1"/>
  <c r="G498" i="1"/>
  <c r="H497" i="1"/>
  <c r="G497" i="1"/>
  <c r="H496" i="1"/>
  <c r="G496" i="1"/>
  <c r="H495" i="1"/>
  <c r="G495" i="1"/>
  <c r="H494" i="1"/>
  <c r="G494" i="1"/>
  <c r="H493" i="1"/>
  <c r="G493" i="1"/>
  <c r="H492" i="1"/>
  <c r="G492" i="1"/>
  <c r="H491" i="1"/>
  <c r="G491" i="1"/>
  <c r="H490" i="1"/>
  <c r="G490" i="1"/>
  <c r="H489" i="1"/>
  <c r="G489" i="1"/>
  <c r="H488" i="1"/>
  <c r="G488" i="1"/>
  <c r="H487" i="1"/>
  <c r="G487" i="1"/>
  <c r="H486" i="1"/>
  <c r="G486" i="1"/>
  <c r="H485" i="1"/>
  <c r="G485" i="1"/>
  <c r="H484" i="1"/>
  <c r="G484" i="1"/>
  <c r="H483" i="1"/>
  <c r="G483" i="1"/>
  <c r="H482" i="1"/>
  <c r="G482" i="1"/>
  <c r="H481" i="1"/>
  <c r="G481" i="1"/>
  <c r="H480" i="1"/>
  <c r="G480" i="1"/>
  <c r="H479" i="1"/>
  <c r="G479" i="1"/>
  <c r="H478" i="1"/>
  <c r="G478" i="1"/>
  <c r="H477" i="1"/>
  <c r="G477" i="1"/>
  <c r="H476" i="1"/>
  <c r="G476" i="1"/>
  <c r="H475" i="1"/>
  <c r="G475" i="1"/>
  <c r="H474" i="1"/>
  <c r="G474" i="1"/>
  <c r="H473" i="1"/>
  <c r="G473" i="1"/>
  <c r="H472" i="1"/>
  <c r="G472" i="1"/>
  <c r="H471" i="1"/>
  <c r="G471" i="1"/>
  <c r="H470" i="1"/>
  <c r="G470" i="1"/>
  <c r="H469" i="1"/>
  <c r="G469" i="1"/>
  <c r="H468" i="1"/>
  <c r="G468" i="1"/>
  <c r="H467" i="1"/>
  <c r="G467" i="1"/>
  <c r="H466" i="1"/>
  <c r="G466" i="1"/>
  <c r="H465" i="1"/>
  <c r="G465" i="1"/>
  <c r="H464" i="1"/>
  <c r="G464" i="1"/>
  <c r="H463" i="1"/>
  <c r="G463" i="1"/>
  <c r="H462" i="1"/>
  <c r="G462" i="1"/>
  <c r="H461" i="1"/>
  <c r="G461" i="1"/>
  <c r="H460" i="1"/>
  <c r="G460" i="1"/>
  <c r="H459" i="1"/>
  <c r="G459" i="1"/>
  <c r="H458" i="1"/>
  <c r="G458" i="1"/>
  <c r="H457" i="1"/>
  <c r="G457" i="1"/>
  <c r="H456" i="1"/>
  <c r="G456" i="1"/>
  <c r="H455" i="1"/>
  <c r="G455" i="1"/>
  <c r="H454" i="1"/>
  <c r="G454" i="1"/>
  <c r="H453" i="1"/>
  <c r="G453" i="1"/>
  <c r="H452" i="1"/>
  <c r="G452" i="1"/>
  <c r="H451" i="1"/>
  <c r="G451" i="1"/>
  <c r="H450" i="1"/>
  <c r="G450" i="1"/>
  <c r="H449" i="1"/>
  <c r="G449" i="1"/>
  <c r="H448" i="1"/>
  <c r="G448" i="1"/>
  <c r="H447" i="1"/>
  <c r="G447" i="1"/>
  <c r="H446" i="1"/>
  <c r="G446" i="1"/>
  <c r="H445" i="1"/>
  <c r="G445" i="1"/>
  <c r="H444" i="1"/>
  <c r="G444" i="1"/>
  <c r="H443" i="1"/>
  <c r="G443" i="1"/>
  <c r="H442" i="1"/>
  <c r="G442" i="1"/>
  <c r="H441" i="1"/>
  <c r="G441" i="1"/>
  <c r="H440" i="1"/>
  <c r="G440" i="1"/>
  <c r="H439" i="1"/>
  <c r="G439" i="1"/>
  <c r="H438" i="1"/>
  <c r="G438" i="1"/>
  <c r="H437" i="1"/>
  <c r="G437" i="1"/>
  <c r="H436" i="1"/>
  <c r="G436" i="1"/>
  <c r="H435" i="1"/>
  <c r="G435" i="1"/>
  <c r="H434" i="1"/>
  <c r="G434" i="1"/>
  <c r="H433" i="1"/>
  <c r="G433" i="1"/>
  <c r="H432" i="1"/>
  <c r="G432" i="1"/>
  <c r="H431" i="1"/>
  <c r="G431" i="1"/>
  <c r="H430" i="1"/>
  <c r="G430" i="1"/>
  <c r="H429" i="1"/>
  <c r="G429" i="1"/>
  <c r="H428" i="1"/>
  <c r="G428" i="1"/>
  <c r="H427" i="1"/>
  <c r="G427" i="1"/>
  <c r="H426" i="1"/>
  <c r="G426" i="1"/>
  <c r="H425" i="1"/>
  <c r="G425" i="1"/>
  <c r="H424" i="1"/>
  <c r="G424" i="1"/>
  <c r="H423" i="1"/>
  <c r="G423" i="1"/>
  <c r="H422" i="1"/>
  <c r="G422" i="1"/>
  <c r="H421" i="1"/>
  <c r="G421" i="1"/>
  <c r="H420" i="1"/>
  <c r="G420" i="1"/>
  <c r="H419" i="1"/>
  <c r="G419" i="1"/>
  <c r="H418" i="1"/>
  <c r="G418" i="1"/>
  <c r="H417" i="1"/>
  <c r="G417" i="1"/>
  <c r="H416" i="1"/>
  <c r="G416" i="1"/>
  <c r="H415" i="1"/>
  <c r="G415" i="1"/>
  <c r="H414" i="1"/>
  <c r="G414" i="1"/>
  <c r="H413" i="1"/>
  <c r="G413" i="1"/>
  <c r="H412" i="1"/>
  <c r="G412" i="1"/>
  <c r="H411" i="1"/>
  <c r="G411" i="1"/>
  <c r="H410" i="1"/>
  <c r="G410" i="1"/>
  <c r="H409" i="1"/>
  <c r="G409" i="1"/>
  <c r="H408" i="1"/>
  <c r="G408" i="1"/>
  <c r="H407" i="1"/>
  <c r="G407" i="1"/>
  <c r="H406" i="1"/>
  <c r="G406" i="1"/>
  <c r="H405" i="1"/>
  <c r="G405" i="1"/>
  <c r="H404" i="1"/>
  <c r="G404" i="1"/>
  <c r="H403" i="1"/>
  <c r="G403" i="1"/>
  <c r="H402" i="1"/>
  <c r="G402" i="1"/>
  <c r="H401" i="1"/>
  <c r="G401" i="1"/>
  <c r="H400" i="1"/>
  <c r="G400" i="1"/>
  <c r="H399" i="1"/>
  <c r="G399" i="1"/>
  <c r="H398" i="1"/>
  <c r="G398" i="1"/>
  <c r="H397" i="1"/>
  <c r="G397" i="1"/>
  <c r="H396" i="1"/>
  <c r="G396" i="1"/>
  <c r="H395" i="1"/>
  <c r="G395" i="1"/>
  <c r="H394" i="1"/>
  <c r="G394" i="1"/>
  <c r="H393" i="1"/>
  <c r="G393" i="1"/>
  <c r="H392" i="1"/>
  <c r="G392" i="1"/>
  <c r="H391" i="1"/>
  <c r="G391" i="1"/>
  <c r="H390" i="1"/>
  <c r="G390" i="1"/>
  <c r="H389" i="1"/>
  <c r="G389" i="1"/>
  <c r="H388" i="1"/>
  <c r="G388" i="1"/>
  <c r="H387" i="1"/>
  <c r="G387" i="1"/>
  <c r="H386" i="1"/>
  <c r="G386" i="1"/>
  <c r="H385" i="1"/>
  <c r="G385" i="1"/>
  <c r="H384" i="1"/>
  <c r="G384" i="1"/>
  <c r="H383" i="1"/>
  <c r="G383" i="1"/>
  <c r="H382" i="1"/>
  <c r="G382" i="1"/>
  <c r="H381" i="1"/>
  <c r="G381" i="1"/>
  <c r="H380" i="1"/>
  <c r="G380" i="1"/>
  <c r="H379" i="1"/>
  <c r="G379" i="1"/>
  <c r="H377" i="1"/>
  <c r="G377" i="1"/>
  <c r="H376" i="1"/>
  <c r="G376" i="1"/>
  <c r="H375" i="1"/>
  <c r="G375" i="1"/>
  <c r="H374" i="1"/>
  <c r="G374" i="1"/>
  <c r="H373" i="1"/>
  <c r="G373" i="1"/>
  <c r="H372" i="1"/>
  <c r="G372" i="1"/>
  <c r="H371" i="1"/>
  <c r="G371" i="1"/>
  <c r="H370" i="1"/>
  <c r="G370" i="1"/>
  <c r="H369" i="1"/>
  <c r="G369" i="1"/>
  <c r="H368" i="1"/>
  <c r="G368" i="1"/>
  <c r="H367" i="1"/>
  <c r="G367" i="1"/>
  <c r="H366" i="1"/>
  <c r="G366" i="1"/>
  <c r="H365" i="1"/>
  <c r="G365" i="1"/>
  <c r="H364" i="1"/>
  <c r="G364" i="1"/>
  <c r="H363" i="1"/>
  <c r="G363" i="1"/>
  <c r="H362" i="1"/>
  <c r="G362" i="1"/>
  <c r="H361" i="1"/>
  <c r="G361" i="1"/>
  <c r="H360" i="1"/>
  <c r="G360" i="1"/>
  <c r="H359" i="1"/>
  <c r="G359" i="1"/>
  <c r="H358" i="1"/>
  <c r="G358" i="1"/>
  <c r="H357" i="1"/>
  <c r="G357" i="1"/>
  <c r="H356" i="1"/>
  <c r="G356" i="1"/>
  <c r="H355" i="1"/>
  <c r="G355" i="1"/>
  <c r="H354" i="1"/>
  <c r="G354" i="1"/>
  <c r="H353" i="1"/>
  <c r="G353" i="1"/>
  <c r="H352" i="1"/>
  <c r="G352" i="1"/>
  <c r="H351" i="1"/>
  <c r="G351" i="1"/>
  <c r="H350" i="1"/>
  <c r="G350" i="1"/>
  <c r="H349" i="1"/>
  <c r="G349" i="1"/>
  <c r="H348" i="1"/>
  <c r="G348" i="1"/>
  <c r="H347" i="1"/>
  <c r="G347" i="1"/>
  <c r="H346" i="1"/>
  <c r="G346" i="1"/>
  <c r="H345" i="1"/>
  <c r="G345" i="1"/>
  <c r="H344" i="1"/>
  <c r="G344" i="1"/>
  <c r="H343" i="1"/>
  <c r="G343" i="1"/>
  <c r="H342" i="1"/>
  <c r="G342" i="1"/>
  <c r="H341" i="1"/>
  <c r="G341" i="1"/>
  <c r="H340" i="1"/>
  <c r="G340" i="1"/>
  <c r="H339" i="1"/>
  <c r="G339" i="1"/>
  <c r="H338" i="1"/>
  <c r="G338" i="1"/>
  <c r="H337" i="1"/>
  <c r="G337" i="1"/>
  <c r="H336" i="1"/>
  <c r="G336" i="1"/>
  <c r="H335" i="1"/>
  <c r="G335" i="1"/>
  <c r="H334" i="1"/>
  <c r="G334" i="1"/>
  <c r="H333" i="1"/>
  <c r="G333" i="1"/>
  <c r="H332" i="1"/>
  <c r="G332" i="1"/>
  <c r="H331" i="1"/>
  <c r="G331" i="1"/>
  <c r="H330" i="1"/>
  <c r="G330" i="1"/>
  <c r="H329" i="1"/>
  <c r="G329" i="1"/>
  <c r="H328" i="1"/>
  <c r="G328" i="1"/>
  <c r="H327" i="1"/>
  <c r="G327" i="1"/>
  <c r="H326" i="1"/>
  <c r="G326" i="1"/>
  <c r="H325" i="1"/>
  <c r="G325" i="1"/>
  <c r="H324" i="1"/>
  <c r="G324" i="1"/>
  <c r="H323" i="1"/>
  <c r="G323" i="1"/>
  <c r="H322" i="1"/>
  <c r="G322" i="1"/>
  <c r="H321" i="1"/>
  <c r="G321" i="1"/>
  <c r="H320" i="1"/>
  <c r="G320" i="1"/>
  <c r="H319" i="1"/>
  <c r="G319" i="1"/>
  <c r="H318" i="1"/>
  <c r="G318" i="1"/>
  <c r="H317" i="1"/>
  <c r="G317" i="1"/>
  <c r="H316" i="1"/>
  <c r="G316" i="1"/>
  <c r="H315" i="1"/>
  <c r="G315" i="1"/>
  <c r="H314" i="1"/>
  <c r="G314" i="1"/>
  <c r="H313" i="1"/>
  <c r="G313" i="1"/>
  <c r="H312" i="1"/>
  <c r="G312" i="1"/>
  <c r="H311" i="1"/>
  <c r="G311" i="1"/>
  <c r="H310" i="1"/>
  <c r="G310" i="1"/>
  <c r="H309" i="1"/>
  <c r="G309" i="1"/>
  <c r="H308" i="1"/>
  <c r="G308" i="1"/>
  <c r="H307" i="1"/>
  <c r="G307" i="1"/>
  <c r="H306" i="1"/>
  <c r="G306" i="1"/>
  <c r="H305" i="1"/>
  <c r="G305" i="1"/>
  <c r="H304" i="1"/>
  <c r="G304" i="1"/>
  <c r="H303" i="1"/>
  <c r="G303" i="1"/>
  <c r="H302" i="1"/>
  <c r="G302" i="1"/>
  <c r="H301" i="1"/>
  <c r="G301" i="1"/>
  <c r="H300" i="1"/>
  <c r="G300" i="1"/>
  <c r="H299" i="1"/>
  <c r="G299" i="1"/>
  <c r="H298" i="1"/>
  <c r="G298" i="1"/>
  <c r="H297" i="1"/>
  <c r="G297" i="1"/>
  <c r="H296" i="1"/>
  <c r="G296" i="1"/>
  <c r="H295" i="1"/>
  <c r="G295" i="1"/>
  <c r="H294" i="1"/>
  <c r="G294" i="1"/>
  <c r="H293" i="1"/>
  <c r="G293" i="1"/>
  <c r="H292" i="1"/>
  <c r="G292" i="1"/>
  <c r="H291" i="1"/>
  <c r="G291" i="1"/>
  <c r="H290" i="1"/>
  <c r="G290" i="1"/>
  <c r="H289" i="1"/>
  <c r="G289" i="1"/>
  <c r="H288" i="1"/>
  <c r="G288" i="1"/>
  <c r="H287" i="1"/>
  <c r="G287" i="1"/>
  <c r="H286" i="1"/>
  <c r="G286" i="1"/>
  <c r="H285" i="1"/>
  <c r="G285" i="1"/>
  <c r="H284" i="1"/>
  <c r="G284" i="1"/>
  <c r="H283" i="1"/>
  <c r="G283" i="1"/>
  <c r="H282" i="1"/>
  <c r="G282" i="1"/>
  <c r="H281" i="1"/>
  <c r="G281" i="1"/>
  <c r="H280" i="1"/>
  <c r="G280" i="1"/>
  <c r="H279" i="1"/>
  <c r="G279" i="1"/>
  <c r="H278" i="1"/>
  <c r="G278" i="1"/>
  <c r="H277" i="1"/>
  <c r="G277" i="1"/>
  <c r="H276" i="1"/>
  <c r="G276" i="1"/>
  <c r="H275" i="1"/>
  <c r="G275" i="1"/>
  <c r="H274" i="1"/>
  <c r="G274" i="1"/>
  <c r="H273" i="1"/>
  <c r="G273" i="1"/>
  <c r="H272" i="1"/>
  <c r="G272" i="1"/>
  <c r="H271" i="1"/>
  <c r="G271" i="1"/>
  <c r="H270" i="1"/>
  <c r="G270" i="1"/>
  <c r="H269" i="1"/>
  <c r="G269" i="1"/>
  <c r="H268" i="1"/>
  <c r="G268" i="1"/>
  <c r="H267" i="1"/>
  <c r="G267" i="1"/>
  <c r="H266" i="1"/>
  <c r="G266" i="1"/>
  <c r="H265" i="1"/>
  <c r="G265" i="1"/>
  <c r="H264" i="1"/>
  <c r="G264" i="1"/>
  <c r="H263" i="1"/>
  <c r="G263" i="1"/>
  <c r="H262" i="1"/>
  <c r="G262" i="1"/>
  <c r="H261" i="1"/>
  <c r="G261" i="1"/>
  <c r="H260" i="1"/>
  <c r="G260" i="1"/>
  <c r="H259" i="1"/>
  <c r="G259" i="1"/>
  <c r="H258" i="1"/>
  <c r="G258" i="1"/>
  <c r="H257" i="1"/>
  <c r="G257" i="1"/>
  <c r="H256" i="1"/>
  <c r="G256" i="1"/>
  <c r="H255" i="1"/>
  <c r="G255" i="1"/>
  <c r="H254" i="1"/>
  <c r="G254" i="1"/>
  <c r="H253" i="1"/>
  <c r="G253" i="1"/>
  <c r="H252" i="1"/>
  <c r="G252" i="1"/>
  <c r="H251" i="1"/>
  <c r="G251" i="1"/>
  <c r="H250" i="1"/>
  <c r="G250" i="1"/>
  <c r="H249" i="1"/>
  <c r="G249" i="1"/>
  <c r="H248" i="1"/>
  <c r="G248" i="1"/>
  <c r="H247" i="1"/>
  <c r="G247" i="1"/>
  <c r="H246" i="1"/>
  <c r="G246" i="1"/>
  <c r="H245" i="1"/>
  <c r="G245" i="1"/>
  <c r="H244" i="1"/>
  <c r="G244" i="1"/>
  <c r="H243" i="1"/>
  <c r="G243" i="1"/>
  <c r="H242" i="1"/>
  <c r="G242" i="1"/>
  <c r="H241" i="1"/>
  <c r="G241" i="1"/>
  <c r="H240" i="1"/>
  <c r="G240" i="1"/>
  <c r="H239" i="1"/>
  <c r="G239" i="1"/>
  <c r="H238" i="1"/>
  <c r="G238" i="1"/>
  <c r="H237" i="1"/>
  <c r="G237" i="1"/>
  <c r="H236" i="1"/>
  <c r="G236" i="1"/>
  <c r="H235" i="1"/>
  <c r="G235" i="1"/>
  <c r="H234" i="1"/>
  <c r="G234" i="1"/>
  <c r="H233" i="1"/>
  <c r="G233" i="1"/>
  <c r="H232" i="1"/>
  <c r="G232" i="1"/>
  <c r="H231" i="1"/>
  <c r="G231" i="1"/>
  <c r="H230" i="1"/>
  <c r="G230" i="1"/>
  <c r="H229" i="1"/>
  <c r="G229" i="1"/>
  <c r="H228" i="1"/>
  <c r="G228" i="1"/>
  <c r="H227" i="1"/>
  <c r="G227" i="1"/>
  <c r="H226" i="1"/>
  <c r="G226" i="1"/>
  <c r="H225" i="1"/>
  <c r="G225" i="1"/>
  <c r="H224" i="1"/>
  <c r="G224" i="1"/>
  <c r="H223" i="1"/>
  <c r="G223" i="1"/>
  <c r="H222" i="1"/>
  <c r="G222" i="1"/>
  <c r="H221" i="1"/>
  <c r="G221" i="1"/>
  <c r="H220" i="1"/>
  <c r="G220" i="1"/>
  <c r="H219" i="1"/>
  <c r="G219" i="1"/>
  <c r="H218" i="1"/>
  <c r="G218" i="1"/>
  <c r="H217" i="1"/>
  <c r="G217" i="1"/>
  <c r="H216" i="1"/>
  <c r="G216" i="1"/>
  <c r="H215" i="1"/>
  <c r="G215" i="1"/>
  <c r="H214" i="1"/>
  <c r="G214" i="1"/>
  <c r="H213" i="1"/>
  <c r="G213" i="1"/>
  <c r="H212" i="1"/>
  <c r="G212" i="1"/>
  <c r="H211" i="1"/>
  <c r="G211" i="1"/>
  <c r="H210" i="1"/>
  <c r="G210" i="1"/>
  <c r="H209" i="1"/>
  <c r="G209" i="1"/>
  <c r="H208" i="1"/>
  <c r="G208" i="1"/>
  <c r="H207" i="1"/>
  <c r="G207" i="1"/>
  <c r="H206" i="1"/>
  <c r="G206" i="1"/>
  <c r="H205" i="1"/>
  <c r="G205" i="1"/>
  <c r="H204" i="1"/>
  <c r="G204" i="1"/>
  <c r="H203" i="1"/>
  <c r="G203" i="1"/>
  <c r="H202" i="1"/>
  <c r="G202" i="1"/>
  <c r="H201" i="1"/>
  <c r="G201" i="1"/>
  <c r="H200" i="1"/>
  <c r="G200" i="1"/>
  <c r="H199" i="1"/>
  <c r="G199" i="1"/>
  <c r="H198" i="1"/>
  <c r="G198" i="1"/>
  <c r="H197" i="1"/>
  <c r="G197" i="1"/>
  <c r="H196" i="1"/>
  <c r="G196" i="1"/>
  <c r="H195" i="1"/>
  <c r="G195" i="1"/>
  <c r="H194" i="1"/>
  <c r="G194" i="1"/>
  <c r="H193" i="1"/>
  <c r="G193" i="1"/>
  <c r="H192" i="1"/>
  <c r="G192" i="1"/>
  <c r="H191" i="1"/>
  <c r="G191" i="1"/>
  <c r="H190" i="1"/>
  <c r="G190" i="1"/>
  <c r="H189" i="1"/>
  <c r="G189" i="1"/>
  <c r="H188" i="1"/>
  <c r="G188" i="1"/>
  <c r="H187" i="1"/>
  <c r="G187" i="1"/>
  <c r="H186" i="1"/>
  <c r="G186" i="1"/>
  <c r="H185" i="1"/>
  <c r="G185" i="1"/>
  <c r="H184" i="1"/>
  <c r="G184" i="1"/>
  <c r="H183" i="1"/>
  <c r="G183" i="1"/>
  <c r="H182" i="1"/>
  <c r="G182" i="1"/>
  <c r="H181" i="1"/>
  <c r="G181" i="1"/>
  <c r="H180" i="1"/>
  <c r="G180" i="1"/>
  <c r="H179" i="1"/>
  <c r="G179" i="1"/>
  <c r="H178" i="1"/>
  <c r="G178" i="1"/>
  <c r="H177" i="1"/>
  <c r="G177" i="1"/>
  <c r="H176" i="1"/>
  <c r="G176" i="1"/>
  <c r="H175" i="1"/>
  <c r="G175" i="1"/>
  <c r="H174" i="1"/>
  <c r="G174" i="1"/>
  <c r="H173" i="1"/>
  <c r="G173" i="1"/>
  <c r="H172" i="1"/>
  <c r="G172" i="1"/>
  <c r="H171" i="1"/>
  <c r="G171" i="1"/>
  <c r="H170" i="1"/>
  <c r="G170" i="1"/>
  <c r="H169" i="1"/>
  <c r="G169" i="1"/>
  <c r="H168" i="1"/>
  <c r="G168" i="1"/>
  <c r="H167" i="1"/>
  <c r="G167" i="1"/>
  <c r="H166" i="1"/>
  <c r="G166" i="1"/>
  <c r="H165" i="1"/>
  <c r="G165" i="1"/>
  <c r="H164" i="1"/>
  <c r="G164" i="1"/>
  <c r="H163" i="1"/>
  <c r="G163" i="1"/>
  <c r="H162" i="1"/>
  <c r="G162" i="1"/>
  <c r="H161" i="1"/>
  <c r="G161" i="1"/>
  <c r="H160" i="1"/>
  <c r="G160" i="1"/>
  <c r="H159" i="1"/>
  <c r="G159" i="1"/>
  <c r="H158" i="1"/>
  <c r="G158" i="1"/>
  <c r="H157" i="1"/>
  <c r="G157" i="1"/>
  <c r="H156" i="1"/>
  <c r="G156" i="1"/>
  <c r="H155" i="1"/>
  <c r="G155" i="1"/>
  <c r="H154" i="1"/>
  <c r="G154" i="1"/>
  <c r="H153" i="1"/>
  <c r="G153" i="1"/>
  <c r="H152" i="1"/>
  <c r="G152" i="1"/>
  <c r="H151" i="1"/>
  <c r="G151" i="1"/>
  <c r="H150" i="1"/>
  <c r="G150" i="1"/>
  <c r="H149" i="1"/>
  <c r="G149" i="1"/>
  <c r="H148" i="1"/>
  <c r="G148" i="1"/>
  <c r="H147" i="1"/>
  <c r="G147" i="1"/>
  <c r="H146" i="1"/>
  <c r="G146" i="1"/>
  <c r="H145" i="1"/>
  <c r="G145" i="1"/>
  <c r="H144" i="1"/>
  <c r="G144" i="1"/>
  <c r="H143" i="1"/>
  <c r="G143" i="1"/>
  <c r="H142" i="1"/>
  <c r="G142" i="1"/>
  <c r="H141" i="1"/>
  <c r="G141" i="1"/>
  <c r="H140" i="1"/>
  <c r="G140" i="1"/>
  <c r="H139" i="1"/>
  <c r="G139" i="1"/>
  <c r="H138" i="1"/>
  <c r="G138" i="1"/>
  <c r="H137" i="1"/>
  <c r="G137" i="1"/>
  <c r="H136" i="1"/>
  <c r="G136" i="1"/>
  <c r="H135" i="1"/>
  <c r="G135" i="1"/>
  <c r="H134" i="1"/>
  <c r="G134" i="1"/>
  <c r="H133" i="1"/>
  <c r="G133" i="1"/>
  <c r="H132" i="1"/>
  <c r="G132" i="1"/>
  <c r="H131" i="1"/>
  <c r="G131" i="1"/>
  <c r="H130" i="1"/>
  <c r="G130" i="1"/>
  <c r="H129" i="1"/>
  <c r="G129" i="1"/>
  <c r="H128" i="1"/>
  <c r="G128" i="1"/>
  <c r="H127" i="1"/>
  <c r="G127" i="1"/>
  <c r="H126" i="1"/>
  <c r="G126" i="1"/>
  <c r="H125" i="1"/>
  <c r="G125" i="1"/>
  <c r="H124" i="1"/>
  <c r="G124" i="1"/>
  <c r="H123" i="1"/>
  <c r="G123" i="1"/>
  <c r="H122" i="1"/>
  <c r="G122" i="1"/>
  <c r="H121" i="1"/>
  <c r="G121" i="1"/>
  <c r="H120" i="1"/>
  <c r="G120" i="1"/>
  <c r="H119" i="1"/>
  <c r="G119" i="1"/>
  <c r="H118" i="1"/>
  <c r="G118" i="1"/>
  <c r="H117" i="1"/>
  <c r="G117" i="1"/>
  <c r="H116" i="1"/>
  <c r="G116" i="1"/>
  <c r="H115" i="1"/>
  <c r="G115" i="1"/>
  <c r="H114" i="1"/>
  <c r="G114" i="1"/>
  <c r="H113" i="1"/>
  <c r="G113" i="1"/>
  <c r="H112" i="1"/>
  <c r="G112" i="1"/>
  <c r="H111" i="1"/>
  <c r="G111" i="1"/>
  <c r="H110" i="1"/>
  <c r="G110" i="1"/>
  <c r="H109" i="1"/>
  <c r="G109" i="1"/>
  <c r="H108" i="1"/>
  <c r="G108" i="1"/>
  <c r="H107" i="1"/>
  <c r="G107" i="1"/>
  <c r="H106" i="1"/>
  <c r="G106" i="1"/>
  <c r="H105" i="1"/>
  <c r="G105" i="1"/>
  <c r="H104" i="1"/>
  <c r="G104" i="1"/>
  <c r="H103" i="1"/>
  <c r="G103" i="1"/>
  <c r="H102" i="1"/>
  <c r="G102" i="1"/>
  <c r="H101" i="1"/>
  <c r="G101" i="1"/>
  <c r="H100" i="1"/>
  <c r="G100" i="1"/>
  <c r="H99" i="1"/>
  <c r="G99" i="1"/>
  <c r="H98" i="1"/>
  <c r="G98" i="1"/>
  <c r="H97" i="1"/>
  <c r="G97" i="1"/>
  <c r="H96" i="1"/>
  <c r="G96" i="1"/>
  <c r="H95" i="1"/>
  <c r="G95" i="1"/>
  <c r="H94" i="1"/>
  <c r="G94" i="1"/>
  <c r="H93" i="1"/>
  <c r="G93" i="1"/>
  <c r="H92" i="1"/>
  <c r="G92" i="1"/>
  <c r="H91" i="1"/>
  <c r="G91" i="1"/>
  <c r="H90" i="1"/>
  <c r="G90" i="1"/>
  <c r="H89" i="1"/>
  <c r="G89" i="1"/>
  <c r="H88" i="1"/>
  <c r="G88" i="1"/>
  <c r="H87" i="1"/>
  <c r="G87" i="1"/>
  <c r="H86" i="1"/>
  <c r="G86" i="1"/>
  <c r="H85" i="1"/>
  <c r="G85" i="1"/>
  <c r="H84" i="1"/>
  <c r="G84" i="1"/>
  <c r="H83" i="1"/>
  <c r="G83" i="1"/>
  <c r="H82" i="1"/>
  <c r="G82" i="1"/>
  <c r="H81" i="1"/>
  <c r="G81" i="1"/>
  <c r="H80" i="1"/>
  <c r="G80" i="1"/>
  <c r="H79" i="1"/>
  <c r="G79" i="1"/>
  <c r="H78" i="1"/>
  <c r="G78" i="1"/>
  <c r="H77" i="1"/>
  <c r="G77" i="1"/>
  <c r="H76" i="1"/>
  <c r="G76" i="1"/>
  <c r="H75" i="1"/>
  <c r="G75" i="1"/>
  <c r="H74" i="1"/>
  <c r="G74" i="1"/>
  <c r="H73" i="1"/>
  <c r="G73" i="1"/>
  <c r="H72" i="1"/>
  <c r="G72" i="1"/>
  <c r="H71" i="1"/>
  <c r="G71" i="1"/>
  <c r="H70" i="1"/>
  <c r="G70" i="1"/>
  <c r="H69" i="1"/>
  <c r="G69" i="1"/>
  <c r="H68" i="1"/>
  <c r="G68" i="1"/>
  <c r="H67" i="1"/>
  <c r="G67" i="1"/>
  <c r="H66" i="1"/>
  <c r="G66" i="1"/>
  <c r="H65" i="1"/>
  <c r="G65" i="1"/>
  <c r="H64" i="1"/>
  <c r="G64" i="1"/>
  <c r="H63" i="1"/>
  <c r="G63" i="1"/>
  <c r="H62" i="1"/>
  <c r="G62" i="1"/>
  <c r="H61" i="1"/>
  <c r="G61" i="1"/>
  <c r="H60" i="1"/>
  <c r="G60" i="1"/>
  <c r="H59" i="1"/>
  <c r="G59" i="1"/>
  <c r="H58" i="1"/>
  <c r="G58" i="1"/>
  <c r="H57" i="1"/>
  <c r="G57" i="1"/>
  <c r="H56" i="1"/>
  <c r="G56" i="1"/>
  <c r="H55" i="1"/>
  <c r="G55" i="1"/>
  <c r="H54" i="1"/>
  <c r="G54" i="1"/>
  <c r="H53" i="1"/>
  <c r="G53" i="1"/>
  <c r="H52" i="1"/>
  <c r="G52" i="1"/>
  <c r="H51" i="1"/>
  <c r="G51" i="1"/>
  <c r="H50" i="1"/>
  <c r="G50" i="1"/>
  <c r="H49" i="1"/>
  <c r="G49" i="1"/>
  <c r="H48" i="1"/>
  <c r="G48" i="1"/>
  <c r="H47" i="1"/>
  <c r="G47" i="1"/>
  <c r="H46" i="1"/>
  <c r="G46" i="1"/>
  <c r="H45" i="1"/>
  <c r="G45" i="1"/>
  <c r="H44" i="1"/>
  <c r="G44" i="1"/>
  <c r="H43" i="1"/>
  <c r="G43" i="1"/>
  <c r="H42" i="1"/>
  <c r="G42" i="1"/>
  <c r="H41" i="1"/>
  <c r="G41" i="1"/>
  <c r="H40" i="1"/>
  <c r="G40" i="1"/>
  <c r="H39" i="1"/>
  <c r="G39" i="1"/>
  <c r="H38" i="1"/>
  <c r="G38" i="1"/>
  <c r="H37" i="1"/>
  <c r="G37" i="1"/>
  <c r="H36" i="1"/>
  <c r="G36" i="1"/>
  <c r="H35" i="1"/>
  <c r="G35" i="1"/>
  <c r="H34" i="1"/>
  <c r="G34" i="1"/>
  <c r="H33" i="1"/>
  <c r="G33" i="1"/>
  <c r="H32" i="1"/>
  <c r="G32" i="1"/>
  <c r="H31" i="1"/>
  <c r="G31" i="1"/>
  <c r="H30" i="1"/>
  <c r="G30" i="1"/>
  <c r="H29" i="1"/>
  <c r="G29" i="1"/>
  <c r="H28" i="1"/>
  <c r="G28" i="1"/>
  <c r="H27" i="1"/>
  <c r="G27" i="1"/>
  <c r="H26" i="1"/>
  <c r="G26" i="1"/>
  <c r="H25" i="1"/>
  <c r="G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alcChain>
</file>

<file path=xl/sharedStrings.xml><?xml version="1.0" encoding="utf-8"?>
<sst xmlns="http://schemas.openxmlformats.org/spreadsheetml/2006/main" count="3475" uniqueCount="611">
  <si>
    <t>No. del Contrato</t>
  </si>
  <si>
    <t>SUBDIRECCION DE PARQUES</t>
  </si>
  <si>
    <t>DIVISION ADMINISTRACION DE ESCENARIOS</t>
  </si>
  <si>
    <t xml:space="preserve">CONSOLIDADO  CONTRATOS PARQUES INTERVENIDOS </t>
  </si>
  <si>
    <t>No de Contrato</t>
  </si>
  <si>
    <t>CONTRATISTA</t>
  </si>
  <si>
    <t>DESCRIPCION DEL OBJETO</t>
  </si>
  <si>
    <t>FECHA INICIO</t>
  </si>
  <si>
    <t>FECHA TERMINACION</t>
  </si>
  <si>
    <t>%    AVANCE EJECUCIÓN FÍSICA DEL CONTRATO</t>
  </si>
  <si>
    <t>CONTRATOS  VIGILANCIA Y ASEO</t>
  </si>
  <si>
    <t>CODIGO</t>
  </si>
  <si>
    <t>LOCALIDAD</t>
  </si>
  <si>
    <t>NOMBRE</t>
  </si>
  <si>
    <t>DESCRICION DE LAS OBRAS</t>
  </si>
  <si>
    <t>INVERSIÓN TOTAL 2024</t>
  </si>
  <si>
    <t>2096/2021</t>
  </si>
  <si>
    <t>CORREAGRO - UT TAC CENTRAL IDRD</t>
  </si>
  <si>
    <t>SERVICIO DE VIGILANCIA</t>
  </si>
  <si>
    <t>ALCAZARES</t>
  </si>
  <si>
    <t>ALTA BLANCA</t>
  </si>
  <si>
    <t>ATAHUALPA</t>
  </si>
  <si>
    <t>BONANZA</t>
  </si>
  <si>
    <t>EL CAMPINCITO - CEAD</t>
  </si>
  <si>
    <t>SERVICIO DE VIGILANCIA CEAD</t>
  </si>
  <si>
    <t>SERVICIO DE VIGILANCIA CAMPINCITO</t>
  </si>
  <si>
    <t>CASA BLANCA</t>
  </si>
  <si>
    <t>TIBABUYES</t>
  </si>
  <si>
    <t>COMPLEJO ACUATICO</t>
  </si>
  <si>
    <t>EL COUNTRY</t>
  </si>
  <si>
    <t>EL CARMELO</t>
  </si>
  <si>
    <t>PARQUE DE LOS NOVIOS</t>
  </si>
  <si>
    <t>ESTADIO NEMECIO CAMACHO EL CAMPIN</t>
  </si>
  <si>
    <t>TABORA</t>
  </si>
  <si>
    <t>FONTANAR DEL RIO</t>
  </si>
  <si>
    <t>CEFE FONTANAR DEL RIO</t>
  </si>
  <si>
    <t>GIMNASIO DEL NORTE</t>
  </si>
  <si>
    <t>JUAN AMARILLO</t>
  </si>
  <si>
    <t>LA FLORIDA</t>
  </si>
  <si>
    <t>LA GAITANA</t>
  </si>
  <si>
    <t>INDEPENDENCIA BICENTENARIO</t>
  </si>
  <si>
    <t>LA SERENA</t>
  </si>
  <si>
    <t>COMETAS</t>
  </si>
  <si>
    <t>ARENA MOVISTAR</t>
  </si>
  <si>
    <t>LIGA DE TENNIS</t>
  </si>
  <si>
    <t>SERVICIO DE VIGILANCIA PALACIO DEL COLESTEROL</t>
  </si>
  <si>
    <t>PARQUE NACIONAL ENRIQUE OLAYA</t>
  </si>
  <si>
    <t>PALACIO DE LOS DEPORTES</t>
  </si>
  <si>
    <t>PARQUE DE LOS NIÑOS</t>
  </si>
  <si>
    <t>INDUSTRIAL LOS EJIDOS</t>
  </si>
  <si>
    <t>PISTA DE BMX PRD</t>
  </si>
  <si>
    <t>PLAZA DE TOROS</t>
  </si>
  <si>
    <t>PTAR SALITRE</t>
  </si>
  <si>
    <t>PRD EL SALITRE - UCAD</t>
  </si>
  <si>
    <t>SERVICIO DE VIGILANCIA EN EL PRD</t>
  </si>
  <si>
    <t>EL RENACIMIENTO - PARQUE CEMENTERIO</t>
  </si>
  <si>
    <t>SAN ANDRES</t>
  </si>
  <si>
    <t>SAUZALITO</t>
  </si>
  <si>
    <t>SERVITA</t>
  </si>
  <si>
    <t>PARQUE CENTRAL SIMON BOLIVAR</t>
  </si>
  <si>
    <t>SENDERO A MONSERRATE</t>
  </si>
  <si>
    <t>SERVICIO DE VIGILANCIA EN EL UCAD</t>
  </si>
  <si>
    <t>UNIDAD DEPORTIVA EL SALITRE SIMON BOLIVAR</t>
  </si>
  <si>
    <t>SERVICIO DE VIGILANCIA-BOLERA</t>
  </si>
  <si>
    <t>VILLA LUZ</t>
  </si>
  <si>
    <t>VILLAS DE GRANADA</t>
  </si>
  <si>
    <t>VIRGILIO BARCO</t>
  </si>
  <si>
    <t>ZONA FRANCA</t>
  </si>
  <si>
    <t>CEFE COMETAS</t>
  </si>
  <si>
    <t>CLUB DISTRITAL DE TENIS</t>
  </si>
  <si>
    <t>CLUB DE TENIS EL CAMPIN</t>
  </si>
  <si>
    <t>ALTOS DE LA ESTANCIA</t>
  </si>
  <si>
    <t>ARBORIZADORA ALTA</t>
  </si>
  <si>
    <t>ARBORIZADORA ALTA METROPOLITANO</t>
  </si>
  <si>
    <t>BOSQUE DE SAN CARLOS</t>
  </si>
  <si>
    <t>BUENA VISTA PORVENIR</t>
  </si>
  <si>
    <t>CANDELARIA LA NUEVA</t>
  </si>
  <si>
    <t>CASTILLA</t>
  </si>
  <si>
    <t>CAYETANO CAÑIZARES</t>
  </si>
  <si>
    <t>CIUDAD MONTES</t>
  </si>
  <si>
    <t>CLARELANDIA</t>
  </si>
  <si>
    <t>BELLAVISTA - DINDALITO</t>
  </si>
  <si>
    <t>EDUARDO SANTOS</t>
  </si>
  <si>
    <t>EL JAZMIN</t>
  </si>
  <si>
    <t>EL RECREO</t>
  </si>
  <si>
    <t>PARQUE DEL RIO MARYLAND</t>
  </si>
  <si>
    <t>BIBLIOTECA EL TINTAL</t>
  </si>
  <si>
    <t>EL TUNAL</t>
  </si>
  <si>
    <t>CEFE TUNAL</t>
  </si>
  <si>
    <t>EL VIRREY SUR</t>
  </si>
  <si>
    <t>ESTADIO DE TECHO</t>
  </si>
  <si>
    <t>UNIDAD DEPORTIVA LA ALQUERIA</t>
  </si>
  <si>
    <t>AUTOPISTA SUR (PAVCO)</t>
  </si>
  <si>
    <t>PARQUE ESTADIO OLAYA HERRERA</t>
  </si>
  <si>
    <t>PIJAOS JORGE E.CABALIER</t>
  </si>
  <si>
    <t>GAITAN CORTES</t>
  </si>
  <si>
    <t>EL PORVENIR (GIBRALTAR)</t>
  </si>
  <si>
    <t>GILMA GIMENEZ (LAS MARGARITAS)</t>
  </si>
  <si>
    <t>GIMNASIO DEL SUR</t>
  </si>
  <si>
    <t>ILLIMANI (PARAISO)</t>
  </si>
  <si>
    <t>LA AMISTAD</t>
  </si>
  <si>
    <t>LA ANDREA</t>
  </si>
  <si>
    <t>LA AURORA II</t>
  </si>
  <si>
    <t>LA ESPERANZA</t>
  </si>
  <si>
    <t>LA ESTANCIA</t>
  </si>
  <si>
    <t>LA FRAGUA</t>
  </si>
  <si>
    <t>LA IGUALDAD</t>
  </si>
  <si>
    <t>PALESTINA</t>
  </si>
  <si>
    <t>LA VICTORIA</t>
  </si>
  <si>
    <t>LAS CRUCES</t>
  </si>
  <si>
    <t>MARSELLA</t>
  </si>
  <si>
    <t>MEISSEN</t>
  </si>
  <si>
    <t>MILENTA TEJAR SAN EUSEBIO</t>
  </si>
  <si>
    <t>LOS MOLINOS II</t>
  </si>
  <si>
    <t>HACIENDA LOS MOLINOS</t>
  </si>
  <si>
    <t>PREDIO LACHES LA MINA</t>
  </si>
  <si>
    <t>LAURELES NARANJOS</t>
  </si>
  <si>
    <t>NUEVO MUZU</t>
  </si>
  <si>
    <t>PATIO BONITO</t>
  </si>
  <si>
    <t>PORVENIR</t>
  </si>
  <si>
    <t>PLAZA DE ARTESANOS</t>
  </si>
  <si>
    <t>QUIROGA</t>
  </si>
  <si>
    <t>SAN CAYETANO</t>
  </si>
  <si>
    <t>SAN CRISTOBAL</t>
  </si>
  <si>
    <t>CEFE SAN CRISTOBAL</t>
  </si>
  <si>
    <t>SAN IGNACIO</t>
  </si>
  <si>
    <t>SANTA LUCIA</t>
  </si>
  <si>
    <t>SIERRA MORENA</t>
  </si>
  <si>
    <t>EL TALLER</t>
  </si>
  <si>
    <t>TERCER MILENIO</t>
  </si>
  <si>
    <t>TIBANICA</t>
  </si>
  <si>
    <t>TIMIZA SECTOR VILLA DEL RIO</t>
  </si>
  <si>
    <t>TIMIZA</t>
  </si>
  <si>
    <t>VALLES DE CAFAM</t>
  </si>
  <si>
    <t>DEPORTIVO PRIMERO DE MAYO</t>
  </si>
  <si>
    <t>VILLA ALEMANA</t>
  </si>
  <si>
    <t>VILLA DE LOS ALPES</t>
  </si>
  <si>
    <t>VILLA MAYOR CEMENTERIO</t>
  </si>
  <si>
    <t>LOTE SAN BERNARDO</t>
  </si>
  <si>
    <t>MIRADOR DE ILLIMANI</t>
  </si>
  <si>
    <t>CIUDADELA CAMPO VERDE</t>
  </si>
  <si>
    <t>LA CATEDRAL</t>
  </si>
  <si>
    <t>AGUA VIVA</t>
  </si>
  <si>
    <t>2406/2021</t>
  </si>
  <si>
    <t xml:space="preserve">AGUAS BOGOTÁ </t>
  </si>
  <si>
    <t>ASEO Y LIMPIEZA</t>
  </si>
  <si>
    <t>MUNDO AVENTURA (AMERICAS)</t>
  </si>
  <si>
    <t xml:space="preserve">Servicio de aseo y limpieza </t>
  </si>
  <si>
    <t>Servicio de aseo y limpieza  ucad</t>
  </si>
  <si>
    <t>SAN JOSE DE BAVARIA</t>
  </si>
  <si>
    <t>SANTA ISABEL</t>
  </si>
  <si>
    <t>NUEVA AUTOPISTA</t>
  </si>
  <si>
    <t>CANAL EL VIRREY - EL CHICO</t>
  </si>
  <si>
    <t>LOS LACHES LA MINA</t>
  </si>
  <si>
    <t>Servicio de aseo y limpieza en piscinas</t>
  </si>
  <si>
    <t>0106/2024</t>
  </si>
  <si>
    <t>AGUAS BOGOTÁ</t>
  </si>
  <si>
    <t>Prestar el servicio de aseo y conexos en parques, jardines y piscinas administradas por el IDRD</t>
  </si>
  <si>
    <t>Servicio de aseo, limpieza, mantenimiento integral de jardines</t>
  </si>
  <si>
    <t xml:space="preserve">Servicio de aseo, limpieza, mantenimiento integral de jardines </t>
  </si>
  <si>
    <t>Servicio de aseo, limpieza y mantenimiento integral de jardines</t>
  </si>
  <si>
    <t>LAGO TIMIZA I ETAPA</t>
  </si>
  <si>
    <t>19-230</t>
  </si>
  <si>
    <t>CIUDAD BOLIVAR</t>
  </si>
  <si>
    <t>0781/2024</t>
  </si>
  <si>
    <t>SERACIS  LTDA</t>
  </si>
  <si>
    <t>SERVICIO DE VIGILANCIA - CEAD</t>
  </si>
  <si>
    <t>SERVICIO DE VIGILANCIA - PRD</t>
  </si>
  <si>
    <t>SERVICIO DE VIGILANCIA - UCAD</t>
  </si>
  <si>
    <t>PALACIO DEL COLESTEROL</t>
  </si>
  <si>
    <t>SERVICIO DE VIGILANCIA - BOLERA</t>
  </si>
  <si>
    <t>SERVICIO DE VIGILANCIA-CASA DE LA POLICIA</t>
  </si>
  <si>
    <t>LA CONCORDIA</t>
  </si>
  <si>
    <t>SERVICIO DE VIGILANCIA - CANCHA</t>
  </si>
  <si>
    <t>SERVICIO DE VIGILANCIA - ZONA NORTE</t>
  </si>
  <si>
    <t>SERVICIO DE VIGILANCIA- ZONA SUR</t>
  </si>
  <si>
    <t xml:space="preserve">CONTRATOS  OBRA </t>
  </si>
  <si>
    <t>3064/2023</t>
  </si>
  <si>
    <t>EQUIVER SAS</t>
  </si>
  <si>
    <t>Contratar por el sistema de precios unitarios, la recuperación, mantenimiento y sostenibilidad de las condiciones técnicas de los campos de juego de fútbol profesional ubicados en los estadios Nemecio Camacho El Campín, Metropolitano de Techo, Campincito y Olaya Herrera de la ciudad de Bogotá D. C.</t>
  </si>
  <si>
    <t xml:space="preserve">mantenimiento de gramas poda demarcacion </t>
  </si>
  <si>
    <t>3099-2023</t>
  </si>
  <si>
    <t>CONSORCIO PARQUES BOG</t>
  </si>
  <si>
    <t>CONTRATAR MEDIANTE EL SISTEMA DE PRECIOS UNITARIOS Y A MONTO AGOTABLE, EL MANTENIMIENTO, ADECUACIÓN, REPARACIÓN, Y RECUPERACIÓN DE LA INFRAESTRUCTURA DE LOS PARQUES QUE INTEGRAN EL SISTEMA DISTRITAL DE PARQUES ADMINISTRADOS POR EL IDRD</t>
  </si>
  <si>
    <t>Suministro E Instalación De Vinilo Adhesivo En Plotter En Lavapiés De Las Piscinas
Cuadrilla sanitaria para revision y mantenimiento de redes
EMERGENCIAS: Mantenimiento de red hidraulica, instalacion de accesorios hidraulicos, cambio de secciones de
tuberia
Mantenimiento ascensores
Desmonte de vallas, Impresión de vanner valla 6x3, instalación de valla y mantenimiento de estructura</t>
  </si>
  <si>
    <t>Suministro E Instalación De Vinilo Adhesivo En Plotter En Lavapiés De Las Piscinas
Impresión de vanner valla 6x3, desmonte valla existente, instalación de valla y mantenimiento de
estructura</t>
  </si>
  <si>
    <t>Suministro E Instalación De Vinilo Adhesivo En Plotter En Lavapiés De Las Piscinas
Actividades hidraulicas, resane de muros, pintura de mobiliario infantil existente
Desmonte de vallas, instalación de valla y mantenimiento de estructura</t>
  </si>
  <si>
    <t>Suministro E Instalación De Cerramiento Lona H=2.20 Mt Para Dar Privacidad A La Cancha #3.
Se Realizaron Las Siguientes Actividades Para Dar Iluminación A La Cancha De Hockey: Cable Cu 1#6, Cable Cu 1#12
Mantenimiento Lampara Gradería Estadio, Cuadrilla Inst. Eléctricas 1:2 +Prest
Demarcación Pintura Trafico Múltiple A=0.1,Para La Cancha De Hockey.
Se realiza cambio de tecnologia, se hace el desmonte de las lumiarias existentes metal halide y se instalan las nuevas luminarias tipo led dando cumplimiento con la normativa IDRD de cumplir con 300 luxes en las canchas de softbol y beisbol</t>
  </si>
  <si>
    <t>Suministro E Instalación De Señal Idg-S 2 Caras En Diferentes Áreas Del Parque.
EMERGENCIAS Señaleticas nuevas del parque
Suministro e instalacion de cerramiento en malla eslabonada perimetral
Se realiza roceria y desmalezado de la parte alta del parque, se avanza con el suministro e instalacion de cerramiento perimetral en malla eslabonada</t>
  </si>
  <si>
    <t>LA ESTACION</t>
  </si>
  <si>
    <t>Destape Y Limpieza Cajas.70x.70x.70,Limpieza Tubería Existente, Rejilla Sifón (3x 2") Metálica. 
Estas Actividades Se Solicitaron D Emergencia En La Pista De Skate Por Empozamientos De Agua.
EMERGENCIAS: Mantenimiento de red hidraulica, instalacion de accesorios hidraulicos, cambio de secciones de
tuberia</t>
  </si>
  <si>
    <t>Se Presentaron Emergencias En Los Baños Del Estadio Debido Al Torneo De Comebol Femenina 
Que Se Realizo En El Mes De Octubre El Cual Se Describen A Continuación: 
Desmonte y Reinstalación Sanitario, Sifón Lavaplatos , Sumin. E Inst. Sifón Para Orinal ,Sifón Pvc S ( 2") ,
Resane:Regata, Pañete,Tub. Pvc 1/2" Y 3/4",Emboquillado Sello Junta Con Mortero.
Muro (En Superboard), En Zonas De Calentamiento.
Bordillo En Ladrillo Hilada Parada H=0.25 M, En Regatas Que Se Realizaron En Baños Administrativos.
Pintura Vinilo Tipo1( 3 Manos Sobre Estuco) ,Para Pintar El Muro De Superboard Que Se Realizo En Cerradura Alcoba Para Las Bodegas y Cafeterías.
Baranda M-83(Sum-Inst) Se Instalo En Las Graderías Norte.
Suministro e instalacion de cerraduras dobles, cuadrilla sanitarias
Mantenimeinto de graderias y porteria.
Actividades hidraulicas, baranda zona de graderias norte
Mantenimeinto general y engrase de compuertas de la zona de comidas bajo las graderias del costado norte, occidental y oriental</t>
  </si>
  <si>
    <t>Se Realizaron Las Siguientes Actividades Eléctricas Para Acometida Provisional Para Las Duchas De Camerinos 1 Y 2. Tubería Emt D=1",Cable Cu 1#10 Awg,Cable Cu 1#12,Interrup 3x100 A Protecc Contactores, Cuadrilla Inst. Eléctricas 1:2.
EMERGENCIAS Se genera por emergencia, el cual requiere la instalacion de unas duchas electricas para un torneo femenino, esto implica que se debe hacer el cambio del tablero general existente, colocar sus respectivas acometida y las duchas electricas
Suministro e instalacion de cerramiento polisombra verde militar para partidos conmebol, desmonte de cerramiento
Se adelanta un cobro del 40% correspondiente a la compra e importacion de los juegos infantiles y piso caucho
Suministro de juegos infantiles y piso caucho
Se realiza el suministro e instalacion de piso en granulo de caucho, suministro de juegos infantiles</t>
  </si>
  <si>
    <t>El Parque Estaba Sin Iluminación En El Momento Que La Minga Se Estableció En El Parque Por Tanto Se Realizaron Las Siguientes Actividades Eléctricas: 
Desmonte Y Reinstalación De Luminaria Alumb Publi,
Desmonte Y Retiro De Red Eléctrica A.P, Cable Cu 1#12, Cable Aluminio 1#4, Cuadrilla Inst. Eléctricas 1:2.
EMERGENCIAS: Se realizo la instalcion de marco y tapa en concreto de las cajas de insteccion que no contaban con
este elemento
Impresion Vanner Valla 6x3</t>
  </si>
  <si>
    <t>Se Realizaron Actividades Eléctricas Ya Que El Coliseo Estaba Presentando Fallas En Las Luminarias.
Mantenimiento Lampara Gradería Estadio, Cuadrilla Inst. Eléctricas 1:2.
EMERGENCIAS: Se realizo visita por emergencia ya que un tramo de luminaria se encontraba sin servicio, se realizo
el cambio de kit y cambio de bombillo en la primer luminaria del circuito ya que las demas
funcionan correctamente.
Se realiza actualizacion de luminarias de la zona de la cancha, mantenimiento de tablero de control, inspeccion para dictamen RETIE y RETILAP</t>
  </si>
  <si>
    <t>Suministro E Instalación De Cerramiento Lona H=2.20 Mt Para Dar Privacidad A La Cancha #3.
Se Realizaron Las Siguientes Actividades Para Dar Iluminación A La Cancha De Hockey: Cable Cu 1#6, Cable Cu 1#12
Mantenimiento Lampara Gradería Estadio, Cuadrilla Inst. Eléctricas 1:2 +Prest
Demarcación Pintura Trafico Múltiple A=0.1,Para La Cancha De Hockey
Desmonte de luminarias fluorecentes, instalacion de tuberi tipo EMT de 1" , 1 1/2" , y 3/4", suministro e instalacion de cableado de cobre 1#6, 1#10 y 1#12, armado muro en superboard, pintura de barandas y cerramientos, suministro e instalacion de tableros acrilicos
Actividades electricas, mantenimiento de cubiertas
Se realiza la actualizacion de tecnologia en la zona administrativa cambiando las luminarias fluorecentes por luminarias LED dejando ajustado los circuitos para que funcionaran con interruptores de forma adecuada
Suministro e instalacion de cerramiento polisombra verde militar para partidos conmebol desmonte de cerramiento
Desmonte de vallas, Impresión de vanner valla 6x3, instalación de valla y mantenimiento de estructura
Mantenimiento de piso caucho, desmonte de grecorromano e instalacion de aro de baloncesto</t>
  </si>
  <si>
    <t>Desmonte y retiro de red electrica tipo ap, suministro e instalacion de tuberia EMT 1"
Demolicion, excavacion y rellenos de la zona de tennis
Rellenos granulares, asfalto, recubrimiento sintetico y demarcacion cancha de squash, se realiza el mantenimiento de luminarias existentes metal halide de la zona de Hockey cambienado luminarias y kit, se hace la adecuacion de un tablero de control para poder maniputar la iluminacion desde contactores y/o pulsadores
EMERGENCIAS: Se genero por emergencian en la zona de la policia, se evidencio una afectacion por un agente externo a la red electrica de la zona dejandola sin energia, para ello se realiza el retiro del cableado afectado y se realiza la instalacion del cableado nuevo con su respectiva canalizacion
Rellenos granulares, asfalto, recubrimiento sintetico y demarcacion cancha de squash, se realiza el mantenimiento de luminarias existentes metal halide de la zona de Hockey cambienado luminarias y kit, se hace la adecuacion de un tablero de control para poder maniputar la iluminacion desde contactores y/o pulsadores
Suministro e instalacion de acometida electrica de la zona de voleibol
Se realiza actualizacion de luminarias de la zona adminsitriva y cancha, mantenimiento de tablero de control, inspeccion retie y retilap</t>
  </si>
  <si>
    <t>Suministro E Instalación De Vinilo Adhesivo En Plotter En Lavapiés De Las Piscinas
Vinilos Módulos Sanitarios
Mantenimiento ascensores
Se realiza mantenimiento de modulos biosaludables y grecorromanos, pintura de modulo NTD, se realiza suministro de recubrimiento sintetico</t>
  </si>
  <si>
    <t>Suministro E Instalación De Señal Idg-S 2 Caras En Diferentes Áreas Del Parque.
Suministro E Instalación De Vinilo Adhesivo En Plotter En Lavapiés De Las Piscinas
EMERGENCIAS: Vinilos adhesivos zonas comunes
Desmonte de vallas, Impresión de vanner valla 6x3, instalación de valla y pintura de laminas y estructura
Se realiza actualizacion de luminarias de la zona de la cancha, mantenimiento de tablero de control, inspeccion para dictamen RETIE y RETILAP</t>
  </si>
  <si>
    <t>Destape Y Limpieza Cajas.70x.70x.70,Limpieza Tubería Existente, Rejilla Sifón (3x 2") Metálica. Estas Actividades Se Solicitaron D Emergencia En La Pista De Skate Por Empozamientos De Agua.
Desmonte y retiro de luminarias de alumbrado publico, instalacion de cableado de cobre 1#12, instalacion de cadenas de columpio modulo M-5, cuadrilla electrica
Cuadrilla sanitaria para revision y mantenimiento de redes
Actividades electricas
Adecuacion de la acometida del poste que va hacia el tablero general y la caja para el sistema de puesta a tierra, fachadas verdes
se realiza el cambio de tecnologia de las luminarias de la fachada del coliseo por luminarias de 200W</t>
  </si>
  <si>
    <t>Se Presentaron Emergencias En Los Baños Del Estadio Debido Al Torneo De Comevol Femenina Que
Se Realizo En El Mes De Octubre El Cual Se Describen A Continuación: Desmonte Y
Reinstalación Sanitario, Sifón Lavaplatos , Sumin. E Inst. Sifón Para Orinal ,Sifón Pvc S ( 2") ,Resane:
Regata, Pañete,Tub. Pvc 1/2" Y 3/4",Emboquillado Sello Junta Con Mortero.
Muro (En Superboard), En Zonas De Calentamiento.
Bordillo En Ladrillo Hilada Parada H=0.25 M, En Regatas Que Se Realizaron En Baños
Administrativos.
Pintura Vinilo Tipo1( 3 Manos Sobre Estuco) ,Para Pintar El Muro De Superboard Que Se Realizo En
Zona D Escalentamiento.
Cerradura Alcoba Para Las Bodegas y Cafeterías.
Baranda M-83(Sum-Inst) Se Instalo En Las Graderías Norte.
Construccion de cajas de paso de 40x40
Afinado de piso, ajustes hidraulicos como griferias y fluxometros de sanitarios, instalacion de tomacorrientes, interruptores, tapas de cajas ciegas, instalacion de luminarias hermeticas, instalacion de lamparas redondas, instalacion de luminarias tipo led, pintura muros casa del adulto mayor
Instalacion de Cerramiento, mantenimeinto zona de bios
Se realiza el cambio de accesorios hidraulicos de 2" en el baño de hombres</t>
  </si>
  <si>
    <t>Se Realizaron Las Siguientes Actividades Eléctricas Para Acometida Provisional Para Las Duchas De Camerinos 1 Y 2. Tubería Emt D=1",Cable Cu 1#10 Awg,Cable Cu 1#12,Interrup 3x100 A Protecc Contactores, Cuadrilla Inst. Eléctricas 1:2.
Cuadrilla de instalacion electrica 1:2
Cuadrilla sanitaria para revision y mantenimiento de redes
Mantenimeinto cubiertas, actividades electricas
Mantenimiento Vallas. Desmonte de valla en mal estado, limpieza y pintura estructura metálica de la valla
Mantenimiento de señales y cambios de vinilos
Suministro de kits de luminarias de 300x</t>
  </si>
  <si>
    <t>El Parque Estaba Sin Iluminación En El Momento Que La Minga Se Estableció En El Parque Por
Tanto Se Realizaron Las Siguientes Actividades Eléctricas: Desmonte Y Reinstalación De Luminaria
Alumb Publi,Desmonte Y Retiro De Red Eléctrica A.P, Cable Cu 1#12, Cable Aluminio 1#4, Cuadrilla
Inst. Eléctricas 1:2.
Suministro e instalacion de cableado de cobre 1#12, suminstro e instalacion de kit para luminaria
de 400W, suministro e instalacion de luminarias redondas y tipo led
EMERGENCIAS: Se realizo el mantenimiento y adecuacion del sistema electrico cambiando las luminrias tipo led en
mal estado por nuevas luminarias tipo led</t>
  </si>
  <si>
    <t>Desmonte y retiro de red electrica tipo ap, suministro e instalacion de tuberia EMT 1"
Mantenimiento zona de juegos infantiles, actividades electricas
Afinado de piso zona infantil, instalacion de juegos infantiles, se relaizo el cambio de tecnologia mejorando los niveles de iluminacion cambiando iluminacion metal halide con iluminacion tipo led y cumpliendo con los niveles fotometricos solicitados por la entidad IDRD, adicionalmente en las zonas de baños y zona administrativa se realizo el cambio de tecnologia cambiando luminarias fluorecentes por LED, haciendo mantenimiento a los tomacorrientes e interruptores en mal estado, adicionalmente en el caso de ver cableado existente expuesto se realizo la adecuacion cumpliendo con normatica retie
Desmonte de vallas, instalación de valla y mantenimiento de estructura
Se realiza el cambio de tecnologia de las luminarias en la zona de la cancha de futbol 11
Destape y limpieza de cajas, fundida de cinta de ajuste de las cajas
Se realiza certificacion soldadura de cajas, inspección para dictamen RETIE y RETILAP</t>
  </si>
  <si>
    <t>Actividades hidraulicas, mantenimiento y pintura zona baños, afinado placas de juegos infantiles, instalacion de juegos infantiles
Impresion Vanner Valla 6x3
instalación de valla y pintura de laminas y estructura</t>
  </si>
  <si>
    <t>Mantenimiento de pista de patinaje y actividades electricas
Excavaciones, nivelaciones y rellenos zona infantil y pista de patinaje, se relaizo el cambio de tecnologia mejorando los niveles de iluminacion cambiando iluminacion metal halide con iluminacion tipo led y cumpliendo con los niveles fotometricos solicitados por la entidad IDRD, adicionalmente en las zonas de baños y zona administrativa se realizo el cambio de tecnologia cambiando luminarias fluorecentes por LED, haciendo mantenimiento a los tomacorrientes e interruptores en mal estado, adicionalmente en el caso de ver cableado existente expuesto se realizo la adecuacion cumpliendo con normatica retie
Impresión de vanner valla 􀏲x􀏯, desmonte valla existente, instalación de valla y mantenimiento de estructura
Se adelanta un cobro del 40% correspondiente a la compra e importacion de los juegos infantiles y piso caucho
Suministro de juegos infantiles y piso caucho
Se realiza el mantenimiento de cajas hidraulicas del parque
Suministro e instalacion de piso en granulo de caucho, suministro e instalación de juegos infantiles, se realiza mantenimiento, pintura e instalacion de baranda M-83</t>
  </si>
  <si>
    <t>Actividades metalmecanicas y desmontes
Mantenimiento de barandas
Se realiza el mantenimiento de cajas hidraulicas del parque</t>
  </si>
  <si>
    <t>Actividades electricas, pulidad e pista de patinaje
Mantenimiento de biosaludables, pintura baranda pista de patinaje, se relaizo el cambio de tecnologia mejorando los niveles de iluminacion cambiando iluminacion metal halide con iluminacion tipo led y cumpliendo con los niveles fotometricos solicitados por la entidad IDRD, adicionalmente en las zonas de baños y zona administrativa se realizo el cambio de tecnologia cambiando luminarias fluorecentes por LED, haciendo mantenimiento a los tomacorrientes e interruptores en mal estado, adicionalmente en el caso de ver cableado existente expuesto se realizo la adecuacion cumpliendo con normatica retie.
Desmonte, suministro e instalacion de banca abdominal zona ruta de la vida, desmonte marco y puerta zona cafeteria coliseo, fachada verde
Se realiza la demolicion de la carpeta asfaltica existente en la zona de la cancha de futbol, se realiza el cobro del 40% del recubrimiento sintetico que correspondiente a la compra e importacion del material
Excavación metálica para cancha, suministro e instalación de geotextil
Se realiza la excavacion asi como la conformacion de la estructura portante de la cancha de microfutbol, se realiza el recubrimiento sintetico y la pintura de las porterias</t>
  </si>
  <si>
    <t>Desmonte de viga canal y desmonste y reinstalacion de bajantes
Se realizo el desmonte e instalacion de tomacorrientes e interruprotes, suministro e instalacion de cable encauchetado 3 *12, desmonte de luminarias y kit de 400w, instalacion de luminarias panel tipo LED, luminarias tortuga y luminarias redondas
Se realiza el desmonte del adoquin y se inicia con la excavacion manual para la estructura portante propuesta por el contratista de obra
Ssuministro e instalación de adoquin, fundida se cintas de confinamiento</t>
  </si>
  <si>
    <t>Actividades electricas
Se realiza cambio de tecnologia, se hace el desmonte de las lumiarias existentes metal halide y se instalan las nuevas luminarias tipo led dando cumplimiento con la normativa IDRD de cumplir con 300 luxes en la pista de patinaje
Se continua con la instalacion de cableado para la acometida de la pista de patinaje
Se realiza cambio de tecnologia, se hace el desmonte de las lumiarias existentes metal halide y se instalan las nuevas luminarias tipo led dando cumplimiento con la normativa IDRD</t>
  </si>
  <si>
    <t>Demolicion, excavacion y rellenos de la zona cancha de arena y parqueadero
Empradizacion zona graderias, instalacion de estructura, red de acueducto y desague para lavapies
Suministro de juegos infantiles y suministro e instalación de piso caucho
Se realiza la fundida de la placa superior del cuarto de control electrico, suministro e instalacion de señales IDG-S
Suminsitro e instalacion de juego infantil cuerdas de escalar con nodos</t>
  </si>
  <si>
    <t>Succion de lodos y excavacion de la zona de tanques
Desmonte e instalacion de bebederos, mantenimiento de baranda del lago, Actividades hidraulicas, mantenimiento tanques
Se adelanta un cobro del 40% correspondiente a la compra e importacion de los juegos infantiles y piso caucho
Suministro e instalación de tuberia para un bebedero. Suministro de juegos infantiles y piso caucho
Se realiza el suministro e instalacion de piso en granulo de caucho, suministro e instalacion de juegos infantiles, se realiza mantenimiento y pintura de columpios y suministro e instalacion de asientos de columpios</t>
  </si>
  <si>
    <t>Mantenimeinto de cerramiento y pista de patinaje
Cambio de accesorios hidraulicos, verificacion de funcionamiento de push sanitarios, Impresion Vanner Valla 6x3
Pulida y lavado general de pista de patinaje</t>
  </si>
  <si>
    <t>Actividades electricas
Se realiza cambio de tecnologia, se hace el desmonte de las lumiarias existentes metal halide y se
instalan las nuevas luminarias tipo led dando cumplimiento con la normativa IDRD de cumplir con
300 luxes en la pista de patinaje</t>
  </si>
  <si>
    <t>Actividades electricas
Las actividades que se están realizando es Gilma Jimenez, corresponde al cambio de acometidas que llega al tablero de fútbol 11, También se está cambiando de tecnología, remplazando luminarias metal halide por luminarias tipo led y así mejorando los niveles fotométricos actuales para las canchas de fútbol 5A - fútbol 5B y fútbol 8
Se realiza un cobro del 40% correspondiente a la compra e importacion de los juegos infantiles y piso caucho
Suministro piso caucho. Instalacion de tuberia de 1 1/4", mantenimeinto de fluxometro, suministro de luminarias para escenario
Se realiza mantenimiento a zona de baños.
Se realiza actualizacion suministro e instalación de luminarias de las zonas de la cancha de futbol 11, futbol 8, futbol 5A, futbol 5B y pista de patinaje, se realiza mantenimiento de tableros de control.</t>
  </si>
  <si>
    <t>Mantenimiento Vallas. Desmonte de vallas en mal estado, limpieza y pintura estructura metálica de las vallas, instalación de vaner
Se adelanta un cobro del 40% correspondiente a la compra e importacion de los juegos infantiles y piso caucho
Suministro de juegos infantiles y piso caucho. Desmonte y retiro de canaleta, suministro e instalacion de flanche. Demolición de pavimento asfáltico, demonte de juegos existentes, instalación de adoquin en senderos, fundida de cinta de ajuste
Se realiza el suministro e instalacion de piso en granulo de caucho, suministro de juegos infantiles, se realiza mantenimiento, pintura e instalacion de baranda m-80</t>
  </si>
  <si>
    <t>Mantenimiento zona de senderos en adoquin, desmonte e instalacion de canecas</t>
  </si>
  <si>
    <t>Mantenimiento de juegos infantiles, desmonte e instalcion de bebederos, actividades hidraulicas
Se realiza el cambio de vinilos del modulo sanitario y pintura de la baranda de acceso al modulo y muro perimetral del modulo de baños
Se realiza conexión hidraulica de los tanques</t>
  </si>
  <si>
    <t>Desmonte e instalacion de canecas, desmonte e instalacion de espaldares de bancas m-31,
desmonte y retiro de bancas existentes
Se realiza el descuento de instalación de banca m-31</t>
  </si>
  <si>
    <t>SUCRE O HIPPIES</t>
  </si>
  <si>
    <t>Lavado y limpieza del parque, cambio de vinilos, demolicion de bancas existentes, suministro e
instalacion de bancas tipo MC, suministro e instalacion de protectores de arboles, pintura de
perimetro de materas
Impresion Vanner Valla 6x3
Desmonte y reintalacion de loseta tipo IDU en zona peatonal</t>
  </si>
  <si>
    <t>CANAL RIO NEGRO</t>
  </si>
  <si>
    <t>Desmonste de rodaderos existentes, demolicion de pavimento asfaltico, desmonte e instalacion de
cerramiento en malla eslabonada, mantenimeinto de estructuras de microfutbol y baloncesto.
Impresion Vanner Valla 6x3
Pintura de baranda y mantenimiento de juego M-3A</t>
  </si>
  <si>
    <t>CANAL BOYACA</t>
  </si>
  <si>
    <t>Desmonte de juegos existentes, cobro parcial de juegos y caucho por importacion
Impresion Vanner Valla 6x3
Suminstro e instalcion de juegos infantiles, suministro e instalcion de piso caucho, suminstro e instalacion de baranda m83
Empradización de zonas verdes, suministro e instalación de señaletica en zona de juegos</t>
  </si>
  <si>
    <t>EMERGENCIA: Mantenimiento de red hidraulica, instalacion de accesorios hidraulicos, cambio de secciones de
tuberia</t>
  </si>
  <si>
    <t>Mantenimiento grama sintetica, instalacion de accesorios hidraulicos, cambio de secciones de
tuberia
Mantenimiento ascensores</t>
  </si>
  <si>
    <t>EMERGENCIAS: Mantenimeinto zona de adoquin
Suministro e instalacion de modulos parkour
Adecuacion zona modulo parkour, empradizacion, instalacion de baranda m-81
Se realiza el cobro del 40% del recubrimiento sintetico que correspondiente a la compra e importacion del material</t>
  </si>
  <si>
    <t>EMERGENCIAS: Vinilos adhesivos zonas comunes
Impresion Vanner Valla 6x3
Se realiza la actualizacion de tecnologia en la zona administrativa cambiando las luminarias fluorecentes por luminarias LED dejando ajustado los circuitos para que funcionaran con interruptores de forma adecuada
Se realiza la actualizacion de tecnologia en la zona de patinaje y cancha de microfutbol</t>
  </si>
  <si>
    <t>Impresión de vanner valla 6x3, desmonte valla existente, instalación de valla y mantenimiento de
estructura</t>
  </si>
  <si>
    <t>Impresión de vanner valla 6x3, desmonte valla existente, instalación de valla y mantenimiento de estructura
se realiza el cambio de tecnologia de las luminarias en la zona de la cancha de futbol 11, se realiza inspeccion retie y retilap
Destape y limpieza de cajas, fundida de cinta de ajuste de las cajas, empradización
Inspección para dictamen RETIE y RETILAP</t>
  </si>
  <si>
    <t>Impresion Vanner Valla 6x3</t>
  </si>
  <si>
    <t>CANAL CORDOBA</t>
  </si>
  <si>
    <t>DIANA TURBAY</t>
  </si>
  <si>
    <t>Impresion Vanner Valla 6x3
Mantenimiento y pintura estación NTD, Mantenimiento modulo de baños y administración. 
Instalacion de rejilla de ventilacion modulo administrativo</t>
  </si>
  <si>
    <t>LA JOYA</t>
  </si>
  <si>
    <t>MORATO</t>
  </si>
  <si>
    <t xml:space="preserve">
Desmonte de vallas, Impresión de vanner valla 6x3, instalación de valla y pintura de laminas y estructura, fundida de bases, instalacion de angulos y cordon de soldadura</t>
  </si>
  <si>
    <t>Desmonte de vallas, Impresión de vanner valla 6x3, instalación de valla y pintura de laminas y estructura</t>
  </si>
  <si>
    <t>Impresion Vanner Valla 6x3
Se realiza el cobro del 40% del recubrimiento sintetico que correspondiente a la compra e importacion del material
Desmonte de piso de caucho y pintura de baranda
Recubrimiento sintetico en zona de biosaludables</t>
  </si>
  <si>
    <t>Mantenimiento y ajuste de juegos infantiles
Se realizan actividades para poner en servicio los baños de niños, baños fiscales, baño de la 36, actividades como el desmonte de cubierta en teja española, desmonte cielo rasos, desmonte de carpinteria metalica, desmonte de aparatos sanitarios que presentan mal funcionamiento, se realiza la conexion electrica subterranea de las diferentes zonas al tablero general del parque, instalacion de luminarias y aparatos electricos correspondientes a la iluminacion interna de las diferentes zonas</t>
  </si>
  <si>
    <t>Suministro e instalacion de cerramiento polisombra verde militar para partidos conmebol, desmonte de cerramiento</t>
  </si>
  <si>
    <t>Mantenimiento de red hidraulica, instalacion de accesorios hidraulicos, cambio de secciones de tuberia</t>
  </si>
  <si>
    <t>Desmonte cerramiento existente, suministro porton de ingreso en malla eslabonada
Suministro e instalcion de laminas 1/4" 1x2 m
Mantenimeinto de cerramiento perimetral y suministro e instalacion porton de ingreso en malla eslabonada</t>
  </si>
  <si>
    <t>Mantenimiento de red hidraulica, instalacion de accesorios hidraulicos, cambio de secciones de tuberia
Desmonte de vallas, instalación de valla y mantenimiento de estructura
Desmonte cerramiento existente, suministro porton de ingreso en malla eslabonada
Mantenimiento de red hidraulica, instalacion de accesorios hidraulicos, cambio de secciones de tuberia</t>
  </si>
  <si>
    <t>Desmonte de vallas, Impresión de vanner valla 6x3, instalación de valla y mantenimiento de estructura
Instalacion de juego rueda carrusel
Suministro recubrimiento sintético
Suministro e instalacion de carpeta asfaltica y recubrimiento sintetico de la zona de grecorromanos, mantenimiento a las maquinas biosaludables y grecorromanas</t>
  </si>
  <si>
    <t>Desmonte de vallas, Impresión de vanner valla 6x3, instalación de valla y mantenimiento de estructura
Se adelanta un cobro del 40% correspondiente a la compra e importacion de los juegos infantiles y piso caucho
Desmonte de juegos infantiles y desmonte de caneca
Se realiza el suministro e instalación de piso en granulo de caucho, suministro e instalación de juegos infantiles, instalacion de luminarias en la zona del modulo de baños</t>
  </si>
  <si>
    <t>NICOLAS DE FEDERMAN 3</t>
  </si>
  <si>
    <t>Desmonte de vallas, Impresión de vanner valla 6x3, instalación de valla y mantenimiento de estructura</t>
  </si>
  <si>
    <t>Desmonte de vallas, Impresión de vanner valla 6x3, instalación de valla y mantenimiento de estructura
Mantenimiento de modulos biosaludables, modulos grecorromanos y estacion ruta de la vida</t>
  </si>
  <si>
    <t>Desmonte de vallas, instalación de valla y mantenimiento de estructura</t>
  </si>
  <si>
    <t>CARMEN DE LA LAGUNA</t>
  </si>
  <si>
    <t>Desmonte de vallas, instalación de valla y mantenimiento de estructura
Instalacion de rejilla de carcamo en el perimetro de la cancha de baloncesto, pintura de baranda
Se realiza el suministro e instalacion de rejillas para carcamo perimetral de la cancha de microfutbol, mantenimeinto y pintura de cerramiento perimetral de cancha de tennis, mantenimeinto de modulos biosaludables
Se realiza suministro de polgo de ladrillo en cancha de tenis</t>
  </si>
  <si>
    <t>Suministro e instalcion de laminas 1/4" 1x2 m</t>
  </si>
  <si>
    <t>Fachada verde</t>
  </si>
  <si>
    <t>Adecuacion y traslado de modulos sanitarios
Desmonte de vallas, Impresión de vanner valla 6x3 nstalación de valla y pintura de laminas y estructura
Instalacion de sardineles en bases de modulo sanitario
Se realiza desmonte, suministro e instalacion de fotoceldas</t>
  </si>
  <si>
    <t>Mantenimiento de red hidraulica, instalacion de accesorios hidraulicos, cambio de secciones de $ tuberia
Se realiza el cambio de accesorios hidraulicos de 1/2" en el baño de hombres</t>
  </si>
  <si>
    <t>Cambio de laminas HR, fundida de bases, instalacion de angulos y cordon de soldadura</t>
  </si>
  <si>
    <t>Desmonte de vallas, Impresión de vanner valla 6x3, instalación de valla y pintura de laminas y 
estructura, fundida de bases</t>
  </si>
  <si>
    <t>Desmonte de vallas, Impresión de vanner valla 6x3, instalación de valla y pintura de laminas y estructura
Se realiza mantenimiento y pintura de modulo NTD
Se realiza mantenimiento a la estructura de las redes de la cancha de tenis, el suminsitro e instalación de red malla de tenis y bancas prefabricas</t>
  </si>
  <si>
    <t>VINILOS PISCINAS</t>
  </si>
  <si>
    <t>Instalacion de vinilos adhesivos</t>
  </si>
  <si>
    <t>Se realiza el mantenimeinto de los modulos biosaludables
Se realiza el suministro e instalacion de listones de madera para las bancas existentes asi como su pintura</t>
  </si>
  <si>
    <t>Se realiza el mantenimeinto de los modulos biosaludables y pintura general de señal informativa
Desmonte de maquina biosaludable</t>
  </si>
  <si>
    <t>Se adelanta un cobro del 40% correspondiente a la compra e importacion de los juegos infantiles y piso caucho
Suministro de juegos infantiles y piso caucho
Se realiza el suministro e instalacion de piso en granulo de caucho, suministro de juegos infantiles, limpieza y puntura del cerramiento perimetral de la zona de la cancha, instalacion del cerramiento en malla nylon en el perimetro de la cancha</t>
  </si>
  <si>
    <t>ATABANZA</t>
  </si>
  <si>
    <t>Se adelanta un cobro del 40% correspondiente a la compra e importacion de los juegos infantiles y piso caucho
Demolición de placa, demolición de bordillo en ladrillo, construcción de placa en concreto y suministro de juegos infantiles
Se realiza el suministro e instalacion de arena peldar para la zona infantil, suministro de juegos infantiles, se avanza con el suministro e instalacion de baranda m-83, se realiza conformacion de
sendero y fundida de cintas</t>
  </si>
  <si>
    <t>Mantenimento zona de ruta de la vida, demarcación de cancha, lavado de superficie en adoquin, mantenimiento de columpios, reposición de resorte en zona de juegos
Se realiza pintura de modulo de juegos infantil M3, mantenimeinto a maquinas biosaludables, suministro e instalacion de señal para la zona infantil</t>
  </si>
  <si>
    <t>NIZA XII</t>
  </si>
  <si>
    <t>Se realiza desmonte, suministro e instalacion de señales SC-80 y IDG-S</t>
  </si>
  <si>
    <t>CIUDAD JARDIN</t>
  </si>
  <si>
    <t>Desmonte de vallas, Impresión de vanner valla 6x3, instalación de valla y mantenimiento de estructura, Suministro e instalcion de laminas 1/4" 1x2 m</t>
  </si>
  <si>
    <t>Actualizacion de tecnologias en luminarias, red electrica y accesorios electricos</t>
  </si>
  <si>
    <t>Cepillado, Fumigacion</t>
  </si>
  <si>
    <t>Cepillado, Fumigacion, Poda</t>
  </si>
  <si>
    <t>Cepillado, Fumigacion, Bordeo</t>
  </si>
  <si>
    <t>Fumigacion, Bordeo</t>
  </si>
  <si>
    <t>Cepillado, Fumigacion,Poda</t>
  </si>
  <si>
    <t xml:space="preserve">Alterna 3-Cancha en grama natural. corte de cesped, bordeo y demarcación </t>
  </si>
  <si>
    <t>Playa - Bordeo</t>
  </si>
  <si>
    <t xml:space="preserve">Cancha en grama natural. corte de cesped, bordeo y demarcación. </t>
  </si>
  <si>
    <t xml:space="preserve">Cepillado, Fumigacion, Bordeo </t>
  </si>
  <si>
    <t>Cancha en grama natural. corte de cesped, bordeo y demarcación.</t>
  </si>
  <si>
    <t>Cepillado, Fumigación</t>
  </si>
  <si>
    <t xml:space="preserve">Cancha en grama natural. Corte cesped, bordeo y demarcación. </t>
  </si>
  <si>
    <t>Cancha de grama natural - Demarcacion, corte de cesped, bordeo</t>
  </si>
  <si>
    <t>Voley playa. Fumigacion, bordeo</t>
  </si>
  <si>
    <t>f8 Cancha en grama natural. corte de cesped, bordeo, demarcación.</t>
  </si>
  <si>
    <t>f9 Cancha en grama natural. corte de cesped, bordeo, demarcación</t>
  </si>
  <si>
    <t>f maracana 1 Cancha en grama natural. corte de cesped, bordeo, demarcación</t>
  </si>
  <si>
    <t>f maracana 2 Cancha en grama natural. corte de cesped, bordeo, demarcación</t>
  </si>
  <si>
    <t>Beisbol Fumigacion, Bordeo, Corte de cesped, Demarcacion</t>
  </si>
  <si>
    <t>Softbol Fumigacion, Bordeo, Corte de cesped, demarcacion</t>
  </si>
  <si>
    <t>Atletismo. Corte de cesped, bordeo</t>
  </si>
  <si>
    <t>Atletismo marte. Corte de cesped, Bordeo</t>
  </si>
  <si>
    <t>Cepillado, Fumigación, Bordeo</t>
  </si>
  <si>
    <t>Cepillado, Fumigación, Poda</t>
  </si>
  <si>
    <t>Cancha grama natural. Demarcacion, corte de cesped y bordeo</t>
  </si>
  <si>
    <t>F. Corte de cesped, demarcacion, bordeo</t>
  </si>
  <si>
    <t>Beisbol. Fumigacion, Bordeo, corte de cesped, demarcacion</t>
  </si>
  <si>
    <t>Playa. Fumigacion, Bordeo</t>
  </si>
  <si>
    <t>Cancha grama natural. Bordeo, corte de cesped, demarcacion</t>
  </si>
  <si>
    <t>CIUDADELA CAFAM II GAVILANES</t>
  </si>
  <si>
    <t>Cancha de grama natural - Bordeo, Corte de cesped, Demarcacion</t>
  </si>
  <si>
    <t>Softbol. Demarcacion, corte de cesped, bordeo, fumigacion</t>
  </si>
  <si>
    <t>Estadio. Demarcacion, corte de cesped, poda, bordeo</t>
  </si>
  <si>
    <t>Cepillado, Fumigación, Bordeo, Poda</t>
  </si>
  <si>
    <t>f1 Borde, corte de cesped, demarcacion</t>
  </si>
  <si>
    <t>f2 Borde, corte de cesped, demarcacion</t>
  </si>
  <si>
    <t>f3 Borde, corte de cesped, demarcacion</t>
  </si>
  <si>
    <t>f4 Borde, corte de cesped, demarcacion</t>
  </si>
  <si>
    <t>f5 Borde, corte de cesped, demarcacion</t>
  </si>
  <si>
    <t>f6 Borde, corte de cesped, demarcacion</t>
  </si>
  <si>
    <t>f7 Borde, corte de cesped, demarcacion</t>
  </si>
  <si>
    <t xml:space="preserve">Cancha en grama natural. Corte cesped y bordeo </t>
  </si>
  <si>
    <t>3141/2023</t>
  </si>
  <si>
    <t>CONSORCIO KYOBE</t>
  </si>
  <si>
    <t xml:space="preserve">        Contratar por el sistema de precios unitarios fijos, el mantenimiento correctivo, preventivo y rutinario de las canchas deportivas en grama natural, arena y sintéticas ubicadas en los parques del Sistema Distrital de Parques de la ciudad de Bogotá D.C.</t>
  </si>
  <si>
    <t>Cepillado, Fumigacion, Bordeo, Poda</t>
  </si>
  <si>
    <t>SANTA ISABEL LA FRAGUA</t>
  </si>
  <si>
    <t>URB. METROPOLIS</t>
  </si>
  <si>
    <t xml:space="preserve">Cepillado, Bordeo </t>
  </si>
  <si>
    <t>PORTAL DEL SOL</t>
  </si>
  <si>
    <t>SANTIAGO DE ATALAYA</t>
  </si>
  <si>
    <t>URB. CHICALA</t>
  </si>
  <si>
    <t>LA CABRERA (JAPON)</t>
  </si>
  <si>
    <t>BALMORA GUADALUPE</t>
  </si>
  <si>
    <t>CARACOLI</t>
  </si>
  <si>
    <t>DOMINGO LAIN</t>
  </si>
  <si>
    <t>PARAISO</t>
  </si>
  <si>
    <t>BACHUE</t>
  </si>
  <si>
    <t>CIUDAD HONDA</t>
  </si>
  <si>
    <t xml:space="preserve">Cepillado, Fumigacion, Bordeo, Grama, Roceria </t>
  </si>
  <si>
    <t>FLORENCIA</t>
  </si>
  <si>
    <t>FLORENCIA LOS TRONQUITOS</t>
  </si>
  <si>
    <t>LA EUROPA</t>
  </si>
  <si>
    <t>NORMANDIA</t>
  </si>
  <si>
    <t>VILLAS DE MADRIGAL</t>
  </si>
  <si>
    <t>CARLOS LLERAS (EL FUEGO)</t>
  </si>
  <si>
    <t>MODELIA</t>
  </si>
  <si>
    <t>URB. CIUDAD HAYUELOS</t>
  </si>
  <si>
    <t>VILLA HELENA VILLEMAR</t>
  </si>
  <si>
    <t>AMERICAS OCCIDENTAL</t>
  </si>
  <si>
    <t>CARVAJAL</t>
  </si>
  <si>
    <t xml:space="preserve">Cepillado, Fumigación, Poda </t>
  </si>
  <si>
    <t>LA ALEJANDRA</t>
  </si>
  <si>
    <t>LAS LUCES Y VILLA RICA</t>
  </si>
  <si>
    <t>VILLA DE LOS SAUCES</t>
  </si>
  <si>
    <t>PEPITA</t>
  </si>
  <si>
    <t>GORGONZOLA</t>
  </si>
  <si>
    <t>PRADERA SUR</t>
  </si>
  <si>
    <t>MARRUECOS</t>
  </si>
  <si>
    <t>MOLINOS</t>
  </si>
  <si>
    <t>SAN JOSE</t>
  </si>
  <si>
    <t>URB. GUSTAVO RESTREPO</t>
  </si>
  <si>
    <t>URB. ANTIOQUIA</t>
  </si>
  <si>
    <t>DESARROLLO LOURDES</t>
  </si>
  <si>
    <t>DESARROLLO LOS LACHES</t>
  </si>
  <si>
    <t>BERLIN</t>
  </si>
  <si>
    <t>BILBAO</t>
  </si>
  <si>
    <t>BURGOS BRITALIA</t>
  </si>
  <si>
    <t>LINDARAJA</t>
  </si>
  <si>
    <t>PRADO PINZON</t>
  </si>
  <si>
    <t>TIBABUYES 1 Y 2</t>
  </si>
  <si>
    <t>VALLE DE REFOUS</t>
  </si>
  <si>
    <t>VICTORIA NORTE</t>
  </si>
  <si>
    <t>VILANOVA</t>
  </si>
  <si>
    <t>CANTALEJO</t>
  </si>
  <si>
    <t>CIUDADELA CAFAM</t>
  </si>
  <si>
    <t>URB LOMBARDIA (1 ETAPA)</t>
  </si>
  <si>
    <t>URB. MAZUREN I SECTOR</t>
  </si>
  <si>
    <t>SANTA CLARA</t>
  </si>
  <si>
    <t>LAGUNETA</t>
  </si>
  <si>
    <t>URB. LA LAGUNA (VENECIA)</t>
  </si>
  <si>
    <t>URB. TUNJUELITO</t>
  </si>
  <si>
    <t>CEDRITOS</t>
  </si>
  <si>
    <t>ESTRELLA NORTE</t>
  </si>
  <si>
    <t>TOBERIN</t>
  </si>
  <si>
    <t>URB. CALLE 170 / ALAMEDA</t>
  </si>
  <si>
    <t>DESARROLLO VERBENAL II</t>
  </si>
  <si>
    <t>ALFONSO LOPEZ</t>
  </si>
  <si>
    <t>MIRAVALLE</t>
  </si>
  <si>
    <t>NUEVO MILENIO</t>
  </si>
  <si>
    <t>NUEVO USME</t>
  </si>
  <si>
    <t>VILLA ALSACIA</t>
  </si>
  <si>
    <t>Cancha en grama natural. Corte cesped, bordeo, demarcación y poda</t>
  </si>
  <si>
    <t>Cancha en grama natural. Corte cesped, bordeo, demarcación  y fumigación</t>
  </si>
  <si>
    <t>Cancha en grama natural. Fertilizacion granular
foliar; Fumigación</t>
  </si>
  <si>
    <t>Cancha en grama natural. Verticut, aireación,
Fertilizacion granuñlar
foliar, Desmonte arcos;
Roceria</t>
  </si>
  <si>
    <t xml:space="preserve">Estadio-Cancha en grama natural. Corte cesped y bordeo </t>
  </si>
  <si>
    <t>Cancha en grama natural. Bordeo.</t>
  </si>
  <si>
    <t>Playa 1-Cancha en grama natural. Verticut, aireción; Fertilizacion granular foliar; Fertilizacion con Humus; Top-dressing; Descapote - Resiembra, Empradización</t>
  </si>
  <si>
    <t>UDS Beisbol, Cancha en grama natural. Corte cesped, bordeo y demarcación</t>
  </si>
  <si>
    <t>UDS Atletismo, Cancha en grama natural. Corte cesped, bordeo</t>
  </si>
  <si>
    <t>UDS Atletismo, marte Cancha en grama natural. Corte cesped, bordeo</t>
  </si>
  <si>
    <t xml:space="preserve">UDS Softbol, Cancha en grama natural. Corte cesped, bordeo y demarcación. </t>
  </si>
  <si>
    <t xml:space="preserve">UDS Voleibol, Cancha en grama natural bordeo. </t>
  </si>
  <si>
    <t xml:space="preserve">Softbol, en grama natural. corte de cesped, bordeo y demarcación. </t>
  </si>
  <si>
    <t xml:space="preserve">2 de playa, Cancha en grama natural. bordeo. </t>
  </si>
  <si>
    <t xml:space="preserve">Cancha en grama natural. corte de cesped, bordeo, demarcación. </t>
  </si>
  <si>
    <t>BOCHICA</t>
  </si>
  <si>
    <t>LOS ANGELES</t>
  </si>
  <si>
    <t xml:space="preserve">Cancha en grama natural. corte de cesped y bordeo. </t>
  </si>
  <si>
    <t xml:space="preserve">(1,2.3 Playa) Cancha en grama natural. bordeo. </t>
  </si>
  <si>
    <t xml:space="preserve">f1 Cancha en grama natural. corte de cesped, bordeo, demarcación. </t>
  </si>
  <si>
    <t xml:space="preserve">f2 Cancha en grama natural. corte de cesped, bordeo, demarcación. </t>
  </si>
  <si>
    <t xml:space="preserve">f3 Cancha en grama natural. corte de cesped, bordeo, demarcación. </t>
  </si>
  <si>
    <t xml:space="preserve">f4 Cancha en grama natural. corte de cesped, bordeo, demarcación. </t>
  </si>
  <si>
    <t xml:space="preserve">f5 Cancha en grama natural. corte de cesped y bordeo. corte de cesped, bordeo, demarcación. </t>
  </si>
  <si>
    <t xml:space="preserve">f6 Cancha en grama natural. corte de cesped y bordeo. corte de cesped, bordeo, demarcación. </t>
  </si>
  <si>
    <t xml:space="preserve">f7 Cancha en grama natural. corte de cesped, bordeo, demarcación. </t>
  </si>
  <si>
    <t xml:space="preserve">f8 Cancha en grama natural. corte de cesped, bordeo, demarcación. </t>
  </si>
  <si>
    <t xml:space="preserve">f9 Cancha en grama natural. corte de cesped, bordeo, demarcación. </t>
  </si>
  <si>
    <t xml:space="preserve">f maracana 1 Cancha en grama natural. corte de cesped, bordeo, demarcación. </t>
  </si>
  <si>
    <t xml:space="preserve">f maracana 2 Cancha en grama natural. corte de cesped, bordeo, demarcación. </t>
  </si>
  <si>
    <t>3187/2023</t>
  </si>
  <si>
    <t>CONSORCIO GUADALUPE</t>
  </si>
  <si>
    <t>Grupo 1, "Contratar mediante el sistema de precios unitarios y a monto agotable, el mantenimiento y adecuación, de los escenarios administrados por el IDRD".</t>
  </si>
  <si>
    <t>adecuacion cerramiento contra impacto</t>
  </si>
  <si>
    <t>adecuacion postes y luces cancha sintetica</t>
  </si>
  <si>
    <t>adecuacion y mantenimiento general piscina</t>
  </si>
  <si>
    <t>mnatenimiento hidraulicos y sanitarios baños y camerinos</t>
  </si>
  <si>
    <t>adecuacion red potable camerinos pista de patinaje</t>
  </si>
  <si>
    <t>cambio cubierta y mantenimineto canales y bajantes</t>
  </si>
  <si>
    <t>atencion emergencia hidraulica</t>
  </si>
  <si>
    <t>Cerramiento perimetral,mantenimineto hidraulico y mantenimineto graderias</t>
  </si>
  <si>
    <t>atencion emergencia electrica en piscina</t>
  </si>
  <si>
    <t>Mantenimiento camerinos estadio</t>
  </si>
  <si>
    <t>mantenimiento cancha voleybol</t>
  </si>
  <si>
    <t>atencion emergencia</t>
  </si>
  <si>
    <t>mantenimineto hidraulico y sanitario</t>
  </si>
  <si>
    <t>mantenimineto piscina</t>
  </si>
  <si>
    <t>Mantenimineto skypark</t>
  </si>
  <si>
    <t>cerramiento canchas multiples</t>
  </si>
  <si>
    <t>mantenimineto escaleras en granito emergencia</t>
  </si>
  <si>
    <t>arreglo tablero electrico cancha</t>
  </si>
  <si>
    <t>mantenimineto electrico, hidraulico y sanitario</t>
  </si>
  <si>
    <t>mantenimineto y adecuacion caseta de comidas</t>
  </si>
  <si>
    <t>mantenimineto electrico cancha</t>
  </si>
  <si>
    <t>atencion de emergencia desprendimiento de cubierta</t>
  </si>
  <si>
    <t>suministro e instalacion de porterias de futbol</t>
  </si>
  <si>
    <t>emergencia hidraulica</t>
  </si>
  <si>
    <t>adecuacion cerramiento cancha</t>
  </si>
  <si>
    <t>mantenimineto iluminacion cancha sintetica</t>
  </si>
  <si>
    <t>iluminacion cancha sintetica</t>
  </si>
  <si>
    <t xml:space="preserve">iluminacion odulos de comidas, baños y cancha sintetica </t>
  </si>
  <si>
    <t>mantenimiento canchas multiples y biosaludables</t>
  </si>
  <si>
    <t xml:space="preserve">mantenimineto general parque  pintura, demarcacion canchas </t>
  </si>
  <si>
    <t>mantenimineto general parque  zonas duras</t>
  </si>
  <si>
    <t>3188/2023</t>
  </si>
  <si>
    <t>PROMCIVILES SAS</t>
  </si>
  <si>
    <t>Grupo 2, "Contratar mediante el sistema de precios unitarios y a monto agotable, el mantenimiento y adecuación, de los escenarios administrados por el IDRD".</t>
  </si>
  <si>
    <t>Adecuaciones Camerinos</t>
  </si>
  <si>
    <t>mantenimiento baños</t>
  </si>
  <si>
    <t>manteniminento hidraulicos y sanitarios</t>
  </si>
  <si>
    <t>mantenimineto hidraulico sanitario, adecuacion piscina niños,pintura</t>
  </si>
  <si>
    <t>mantenimiento hidraulicos sanitarios y pintuta</t>
  </si>
  <si>
    <t>LA VIDA</t>
  </si>
  <si>
    <t>mantenimiento piscina y pintura del escenario</t>
  </si>
  <si>
    <t>instalacion y mantemiento red hidraulica del escenario</t>
  </si>
  <si>
    <t>cerramineto perimetral</t>
  </si>
  <si>
    <t>instalacion tanque de agua</t>
  </si>
  <si>
    <t>adecuacion camerinos y cerramiiento</t>
  </si>
  <si>
    <t>mantenimineto cubierta coliseo</t>
  </si>
  <si>
    <t>mantenimiento general</t>
  </si>
  <si>
    <t>Adecuacion Zona de Juegos Infantiles</t>
  </si>
  <si>
    <t>URBANIZACION LOS MOLINOS</t>
  </si>
  <si>
    <t>cambio de sillas y canecas</t>
  </si>
  <si>
    <t>mantenimineto pista de patinaje</t>
  </si>
  <si>
    <t>emergencia cancha sintetica cerramineto en nylon</t>
  </si>
  <si>
    <t>Cambio de Vidrios Mantenimiento de senderos petaonales</t>
  </si>
  <si>
    <t>Mantenimineto Pista de Trote</t>
  </si>
  <si>
    <t xml:space="preserve">Mantenimineto Camerinos </t>
  </si>
  <si>
    <t>adecuacion hidraulica para baños</t>
  </si>
  <si>
    <t>4041/2024</t>
  </si>
  <si>
    <t>CONSORCIO INNOVAPARQUES</t>
  </si>
  <si>
    <t>“CONTRATAR MEDIANTE EL SISTEMA DE PRECIOS UNITARIOS Y A MONTO AGOTABLE, EL MANTENIMIENTO, ADECUACIÓN, REPARACIÓN Y
RECUPERACIÓN DE PARQUES Y CAMPOS DEPORTIVOS ADMINISTRADOS POR EL IDRD”.
GRUPO 1 - “MANTENIMIENTO CORRECTIVO, PREVENTIVO Y RUTINARIO DE LAS CANCHAS DEPORTIVAS EN GRAMA NATURAL, ARENA Y
SINTÉTICAS”.</t>
  </si>
  <si>
    <t>Demarcación, bordeo, corte de cesped canchas de fútbol</t>
  </si>
  <si>
    <t xml:space="preserve">Demarcación, bordeo, corte de cesped canchas de fútbol, poda zonas verdes </t>
  </si>
  <si>
    <t>Cepillado y fumigación</t>
  </si>
  <si>
    <t>Bordeo, cepillado, fumigación y poda de zonas verdes</t>
  </si>
  <si>
    <t>VERBENAL</t>
  </si>
  <si>
    <t xml:space="preserve">Cepillado y fumigación/ cepillado, aireación, fumigación, suministro de mallas y reparación de malla de nylon de cerramiento. </t>
  </si>
  <si>
    <t xml:space="preserve">Poda de zonas verdes </t>
  </si>
  <si>
    <t xml:space="preserve">Bordeo, cepillado y fumigación </t>
  </si>
  <si>
    <t xml:space="preserve">Bordeo, cepillado, fumigación y poda de zonas verdes  </t>
  </si>
  <si>
    <t>PARQUE INDUSTRIAL (EL NECTAR)</t>
  </si>
  <si>
    <t>Transporte, aireación, suministro y repación de arcos y malla de cerramiento en Nylon, suministro e instalación de grama sintética y caucho</t>
  </si>
  <si>
    <t>Transporte, bordeo, aireación, fumigación, poda de zonas de
verdes, suministro de mallas, reparación malla nylon de cerramiento, suministro de caucho y grama sintética</t>
  </si>
  <si>
    <t>Cepillado, imprimación asfáltica en frío y compactación</t>
  </si>
  <si>
    <t>PALERMO SUR</t>
  </si>
  <si>
    <t>Transporte, imprimación asfáltica, compactación,suministro de mallas, caucho,
arena y grama y desmonte de grama</t>
  </si>
  <si>
    <t>Bordeo, cepillado y fumigación</t>
  </si>
  <si>
    <t>Demarcación, bordeo y corte de césped</t>
  </si>
  <si>
    <t>12-035</t>
  </si>
  <si>
    <t>BARRIOS UNIDOS</t>
  </si>
  <si>
    <t>$ 501,833.70</t>
  </si>
  <si>
    <t>08-144</t>
  </si>
  <si>
    <t>KENNEDY</t>
  </si>
  <si>
    <t>$ 509,832.60</t>
  </si>
  <si>
    <t>4060/2024</t>
  </si>
  <si>
    <t>CONSORCIO BELZCON IDRD 1</t>
  </si>
  <si>
    <t>“CONTRATAR MEDIANTE EL SISTEMA DE PRECIOS UNITARIOS Y A MONTO AGOTABLE, EL
MANTENIMIENTO, ADECUACIÓN, REPARACIÓN Y RECUPERACIÓN DE PARQUES Y CAMPOS DEPORTIVOS
ADMINISTRADOS POR EL IDRD”.
GRUPO 2 - “MANTENIMIENTO, ADECUACIÓN, REPARACIÓN Y RECUPERACIÓN DE LA INFRAESTRUCTURA
DE LOS PARQUES QUE INTEGRAN EL SISTEMA DISTRITAL DE PARQUES ADMINISTRADOS POR EL IDRD”.</t>
  </si>
  <si>
    <t>1. Instalación de canecas.  
2. Mantenimiento de columnas y pintura blanca.  
3. Suministro e instalación de bancas. 
4. En la zona del mapa de las Américas se funden y pintan las losetas en colores amarillo, azul y rojo; fundido de bordillos en granito pulido e instalación de tubería para cárcamo de desagüe.  
6. Demolición de parrillas y empradización.  
7. También se avanza en el suministro de instalación del cerramiento en forma de media luna. 
8. Reparación de un medio muro en la jardinera de la rotonda y el suministro e instalación de señalética. 
9. Seguimos avanzando en el mantenimiento y recuperación del sendero de la virgen. 
10. Se construye un muro debajo del puente para completar las intervenciones planificadas.
11. Continuamos adelantando el suministro e instalación de señalización. 
 12. Seguimos trabajando en el mantenimiento de la pista de patinaje.</t>
  </si>
  <si>
    <t>CONTRATOS MANTENIMIENTO</t>
  </si>
  <si>
    <t>3201-2022</t>
  </si>
  <si>
    <t>Ecopoop Sabana SAS</t>
  </si>
  <si>
    <t>REALIZAR EL PROCESO DE BIOTRANSFORMACIÓN DE HECES DE MASCOTAS EN ABONO ORGÁNICO PARA REDUCIR EMISIONES EN EL MARCO DE LA ESTRATEGIA DE CARBONO NEUTRALIDAD DEL PARQUE SIMÓN BOLÍVAR</t>
  </si>
  <si>
    <t>Realizar el proceso de biotransformación de heces de mascotas en abono orgánico para reducir emisiones en el marco de la estrategia de Carbono Neutralidad del parque Simón Bolívar.</t>
  </si>
  <si>
    <t>3298-2022</t>
  </si>
  <si>
    <t>PARQUE DE MAQUINARIA SAS</t>
  </si>
  <si>
    <t>PRESTAR LOS SERVICIOS DE LIMPIEZA DE POZOS SÉPTICOS UBICADOS EN PARQUES DEL SISTEMA DISTRITAL</t>
  </si>
  <si>
    <t>Limpieza de Pozos Sépticos</t>
  </si>
  <si>
    <t>2777-2023</t>
  </si>
  <si>
    <t>CONTINENTAL DE FUMIGACIONES SAS</t>
  </si>
  <si>
    <t xml:space="preserve">Fumigación, control de roedores y limpieza y desinfección de tanques. </t>
  </si>
  <si>
    <t xml:space="preserve">Fumigación contra insectos, control de roedores y desinfección de tanques </t>
  </si>
  <si>
    <t>2710-2023</t>
  </si>
  <si>
    <t>AGUAS DE BOGOTA SAESP</t>
  </si>
  <si>
    <t>Prestar Servicio de mantenimiento integral de zonas verdes del Parque Regional La Florida y la sede administrativa del IDRD.</t>
  </si>
  <si>
    <t>Mantenimiento Integral de Zonas Verdes</t>
  </si>
  <si>
    <t>3069/2023</t>
  </si>
  <si>
    <t>INVESAKK SAS</t>
  </si>
  <si>
    <t>SUMINISTRAR LOS ELEMENTOS DE FERRETERÍA Y PINTURA REQUERIDOS POR EL IDRD.</t>
  </si>
  <si>
    <t>Insumos de piscinas</t>
  </si>
  <si>
    <t>Elementos de ferreteria</t>
  </si>
  <si>
    <t>Insumos de ferreteria</t>
  </si>
  <si>
    <t>Insumos de ferreteria para ecomuros</t>
  </si>
  <si>
    <t>Insumos para el sistema distrital de parques a través de ambulancia</t>
  </si>
  <si>
    <t>Insumos de ferreteria (bodega)</t>
  </si>
  <si>
    <t>Elementos de ferreteria parques a través de contrato de aseo</t>
  </si>
  <si>
    <t>2820/2023</t>
  </si>
  <si>
    <t>AGUAS DE BOGOTÁ S.A. E.S.P.</t>
  </si>
  <si>
    <t>Contratar las actividades de manejo integral del arbolado, en los parques de la red estructurante administrados por el IDRD.</t>
  </si>
  <si>
    <t>MANEJO SILVICULTURAL</t>
  </si>
  <si>
    <t>MANEJO SILVICULTURAL - SECTOR PICO DEL ÁGUILA</t>
  </si>
  <si>
    <t>3095-2023</t>
  </si>
  <si>
    <t>CONSORCIO ECOPARK</t>
  </si>
  <si>
    <t>CONTRATAR EL SERVICIO DE LIMPIEZA Y MANTENIMIENTO ECOSISTÉMICO DE LOS CUERPOS DE AGUA UBICADOS EN LOS PARQUES Y ESCENARIOS QUE HACEN PARTE DEL SISTEMA DISTRITAL DE PARQUES ADMINISTRADOS POR EL IDRD</t>
  </si>
  <si>
    <t>Mantenimiento de Cuerpos de Agua</t>
  </si>
  <si>
    <t>3097/2023</t>
  </si>
  <si>
    <t>Profesionales Ambientales de Colombia</t>
  </si>
  <si>
    <t>CONTRATAR EL MANTENIMIENTO DE EQUIPOS DE PISCINAS ADMINISTRADAS POR EL IDRD.</t>
  </si>
  <si>
    <t>Mantenimiento de equipos de piscinas (calderas, filtros, motobombas, calentadore, tubería, etc)</t>
  </si>
  <si>
    <t>3161/2023</t>
  </si>
  <si>
    <t>COMERCIALIZADORA ELECTROMERO S.A.S.</t>
  </si>
  <si>
    <t xml:space="preserve">	"CONTRATAR EL MANTENIMIENTO INTEGRAL DE LOS EQUIPOS ELECTROMECÁNICOS, ELECTRÓNICOS, MAQUINARIA Y EN GENERAL LOS EQUIPOS Y ELEMENTOS UBICADOS EN PARQUES, ESCENARIOS Y EN LA SEDE ADMINISTRATIVA DEL IDRD".</t>
  </si>
  <si>
    <t>Mantenimiento preventivo y correctivo de equipos hidroneumaticos</t>
  </si>
  <si>
    <t xml:space="preserve">Mantenimiento preventivo y correctivo e instalacion de equipos </t>
  </si>
  <si>
    <t>3145/2023</t>
  </si>
  <si>
    <t>RODOLFO BARBOSA BARBOSA-CUERPO OFICIAL DE PREVENCION DE EMERGENCIAS</t>
  </si>
  <si>
    <t>CONTRATAR LA RECARGA DE EXTINTORES EN LOS PARQUES Y ESCENARIOS ADMINISTRADOS, ASÍ COMO EN LAS SEDES ADMINISTRATIVAS DEL IDRD</t>
  </si>
  <si>
    <t xml:space="preserve">Recarga de extintores </t>
  </si>
  <si>
    <t>3158/2023</t>
  </si>
  <si>
    <t>CORPORACION EDUCATIVA Y CIENTIFICA COSMOS</t>
  </si>
  <si>
    <t>Aunar esfuerzos técnicos, financieros y administrativos para realizar actividades de recuperación, rehabilitación o restauración ecológica y manejo adaptativo en parques del Sistema Distrital administrados por el IDRD</t>
  </si>
  <si>
    <t>RESTAURACIÓN ECOLÓGICA - PICO DEL ÁGUILA</t>
  </si>
  <si>
    <t>MANTENIMIENTO - SECTOR LA ISLA</t>
  </si>
  <si>
    <t>RESTAURACIÓN ECOLÓGICA</t>
  </si>
  <si>
    <t>MANTENIMIENTO - SECTOR EL LAGO - SEMILLERO</t>
  </si>
  <si>
    <t>RETIRO DE RETAMO</t>
  </si>
  <si>
    <t>3173/2023</t>
  </si>
  <si>
    <t>TU SERVICIO FITNESS</t>
  </si>
  <si>
    <t>CONTRATAR EL MANTNEIMIENTO PREVENTIVO Y CORRECTIVO DE LAS MAQUINAS Y EQUIPOS DE GIMNASIO UBICADOS EN LA SEDE ADMINISTRATIVA Y EN LOS PARQUES Y ESCENARIOS ADMINISTRADOS POR EL IDRD</t>
  </si>
  <si>
    <t xml:space="preserve">Mantenimiento preventivo y correctivo </t>
  </si>
  <si>
    <t>3189/2023</t>
  </si>
  <si>
    <t>C2COMPANY SAS</t>
  </si>
  <si>
    <t>CONTRATAR EL SUMINISTRO DE ELEMENTOS E INSUMOS MEDICOS Y DE PRIMEROS AUXILIOS REQUERIDOS POR EL IDRD</t>
  </si>
  <si>
    <t>Suministro de insumos para botiquines</t>
  </si>
  <si>
    <t>3198/2023</t>
  </si>
  <si>
    <t>ASOCIACIÓN COOPERATIVA DE RECICLADORES DE BOGOTÁ</t>
  </si>
  <si>
    <t>Aunar esfuerzos técnicos, administrativos, físicos y económicos para realizar el Manejo Integral de Residuos Sólidos en el Parque Regional la Florida, realizar la recolección de residuos orgánicos y la caracterización por tipo, peso y volumen de residuos en parques del Sistema Distrital; impidiendo su disposición final</t>
  </si>
  <si>
    <t>GESTIÓN INTEGRAL DE RESIDUOS SÓLIDOS</t>
  </si>
  <si>
    <t>3194/2023-O.C.119965</t>
  </si>
  <si>
    <t>GRUPO EDS AUTOGAS S.A.S.</t>
  </si>
  <si>
    <t>SUMINISTRO DE GASOLINA Y ACPM PARA EL FUNCIONAMIENTO DE MAQUINARIA Y EQUIPOS DEL SISTEMA DISTRITAL DE PARQUES DE ACUERDO CON LOS REQUERIMIENTOS DEL IDRD</t>
  </si>
  <si>
    <t>Suministro combustible 250 galones</t>
  </si>
  <si>
    <t>Suministro combustible 100 galones</t>
  </si>
  <si>
    <t>Suministro combustible 350 galones</t>
  </si>
  <si>
    <t>Suministro combustible 61 galones</t>
  </si>
  <si>
    <t>Suministro combustible 101 galones</t>
  </si>
  <si>
    <t>Suministro combustible 76 galones</t>
  </si>
  <si>
    <t>Suministro combustible 16 galones</t>
  </si>
  <si>
    <t>Suministro combustible 91 galones</t>
  </si>
  <si>
    <t>Suministro combustible 51 galones</t>
  </si>
  <si>
    <t>Suministro combustible 96 galones</t>
  </si>
  <si>
    <t>3213/2023</t>
  </si>
  <si>
    <t>CASA QUIMICOS SAS</t>
  </si>
  <si>
    <t>ADQUIRIR EQUIPOS Y SUMINISTRAR REACTIVOS PARA LA OPERACIÓN DE PISCINAS ADMINISTRADAS POR EL IDRD.</t>
  </si>
  <si>
    <t xml:space="preserve">Entrega de Fotómetro y reactivos para Kit Tylor </t>
  </si>
  <si>
    <t xml:space="preserve">Entrega de Reactiuvos para kit Tylor </t>
  </si>
  <si>
    <t>3246/2023</t>
  </si>
  <si>
    <t>Biopolimeros Industriales S.A.S</t>
  </si>
  <si>
    <t>CONTRATAR LA REALIZACIÓN DE LOS ANÁLISIS FISICOQUÍMICOS Y MICROBIOLÓGICOS DEL AGUA DE LAS PISCINAS ADMINISTRADAS POR EL IDRD.</t>
  </si>
  <si>
    <t>Realizacion  de analisis fisicoquimicos y microbiologicos del agua de las piscinas</t>
  </si>
  <si>
    <t>Realizacion de analisis fisicoquimicos y microbiologicos del agua de las piscinas</t>
  </si>
  <si>
    <t>3291/2024</t>
  </si>
  <si>
    <t>Limpieza de Pozos, Cajas y Sondeo</t>
  </si>
  <si>
    <t>19-756</t>
  </si>
  <si>
    <t>IDRD-DG-CD-3861-2024</t>
  </si>
  <si>
    <t>AGUAS DE BOGOTA S.A. E.S.P.</t>
  </si>
  <si>
    <t>3744/2024</t>
  </si>
  <si>
    <t>FUMIGACIONES EL TRIUNFO CAR</t>
  </si>
  <si>
    <t>CONTRATAR EL SERVICIO DE FUMIGACION PARA INSECTOS, CONTROL DE ROEDORES,DESINFECCION Y LAVADO DE TANQUES DE ALMACENTAMIENTO DE AGUA EN LOS DIFERENTES PARQUES ADMINISTRADOS POR EL IDRD, UBICADOS EN EL SISTEMA DISTRITAL DE PARQUES Y EN LAS SEDES ADMINISTRATIVA Y ARCHIVO DEL IDRD</t>
  </si>
  <si>
    <t>3848/2024</t>
  </si>
  <si>
    <t>BIOPOLIMEROS INDUSTRIALES</t>
  </si>
  <si>
    <t>CONTRATAR LA REALIZACIÓN DE LOS ANÁLISIS FISICOQUÍMICOS Y MICROBIOLÓGICOS DE LAS PISCINAS Y CUERPOS DE AGUA UBICADOS EN LOS PARQUES ADMINISTRADOS POR EL IDRD.</t>
  </si>
  <si>
    <t>Toma y analisis de muestras del agua de las piscinas</t>
  </si>
  <si>
    <t>Toma y analisis de muestras del agua de las cuerpos de agua</t>
  </si>
  <si>
    <t>Afinado de piso, ajustes hidraulicos como griferias y fluxometros de sanitarios, instalacion de tomacorrientes, interruptores, tapas de cajas ciegas, instalacion de luminarias hermeticas, instalacion de lamparas redondas, instalacion de luminarias tipo led, pintura muros casa del adulto mayor
Suministro e instalacion de cerraduras dobles, cuadrilla sanitarias
EMERGENCIAS: Mantenimiento de red hidraulica, instalacion de accesorios hidraulicos, cambio de tuberia
Mantenimiento senderos en adoquin, mantenimineto pista de BMX, estuco y pintura de porterias y casa del adulto mayor, recubrimiento sintetico zona de biosaludables, fachada verde
Demolición de placa y pavimento asfaltico, desmonte de adoquín. Se realiza el cambio de accesorios hidraulicos de 2" en el baño de hombres
Mantenimiento y conformacion de la zona del sendero en adoquin, se realiza el suministro e instalacion de portones deslizables y de pivote</t>
  </si>
  <si>
    <t>Suministro E Instalación De Vinilo Adhesivo En Plotter En Lavapiés De Las Piscinas
Mantenimiento en ascensores
Mantenimiento de baños, instalacion push, demolicion e instalacion de enchape en la zona de duchas, mantneimiento de muro en la zona de casilleros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</si>
</sst>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_-&quot;$&quot;\ * #,##0.00_-;\-&quot;$&quot;\ * #,##0.00_-;_-&quot;$&quot;\ * &quot;-&quot;??_-;_-@"/>
    <numFmt numFmtId="166" formatCode="&quot;$&quot;#,##0.00"/>
    <numFmt numFmtId="167" formatCode="d&quot;/&quot;m&quot;/&quot;yyyy"/>
    <numFmt numFmtId="168" formatCode="dd/mm/yyyy"/>
    <numFmt numFmtId="169" formatCode="d/m/yyyy"/>
    <numFmt numFmtId="170" formatCode="dd\-mm\-yyyy"/>
    <numFmt numFmtId="171" formatCode="d\-m\-yyyy"/>
    <numFmt numFmtId="172" formatCode="d\-m\-yy"/>
    <numFmt numFmtId="173" formatCode="dd\-mm\-yy"/>
  </numFmts>
  <fonts count="10">
    <font>
      <sz val="11"/>
      <color theme="1"/>
      <name val="Aptos Narrow"/>
      <family val="2"/>
      <scheme val="minor"/>
    </font>
    <font>
      <sz val="11"/>
      <color rgb="FF000000"/>
      <name val="Aptos Narrow"/>
      <family val="2"/>
      <scheme val="minor"/>
    </font>
    <font>
      <b/>
      <sz val="9"/>
      <color theme="1"/>
      <name val="Arial"/>
      <family val="2"/>
    </font>
    <font>
      <b/>
      <sz val="9"/>
      <color rgb="FF000000"/>
      <name val="Arial"/>
      <family val="2"/>
    </font>
    <font>
      <sz val="9"/>
      <color rgb="FF000000"/>
      <name val="Arial"/>
      <family val="2"/>
    </font>
    <font>
      <sz val="9"/>
      <color rgb="FF000000"/>
      <name val="Calibri"/>
      <family val="2"/>
    </font>
    <font>
      <sz val="11"/>
      <name val="Calibri"/>
      <family val="2"/>
    </font>
    <font>
      <sz val="9"/>
      <color theme="1"/>
      <name val="Arial"/>
      <family val="2"/>
    </font>
    <font>
      <sz val="9"/>
      <color rgb="FF1F1F1F"/>
      <name val="&quot;Google Sans&quot;"/>
    </font>
    <font>
      <sz val="9"/>
      <color rgb="FF1F1F1F"/>
      <name val="Arial"/>
      <family val="2"/>
    </font>
  </fonts>
  <fills count="7">
    <fill>
      <patternFill patternType="none"/>
    </fill>
    <fill>
      <patternFill patternType="gray125"/>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theme="2"/>
        <bgColor rgb="FFFFFF00"/>
      </patternFill>
    </fill>
    <fill>
      <patternFill patternType="solid">
        <fgColor rgb="FFFFFFFF"/>
        <bgColor indexed="64"/>
      </patternFill>
    </fill>
  </fills>
  <borders count="73">
    <border>
      <left/>
      <right/>
      <top/>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medium">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right style="thin">
        <color rgb="FF000000"/>
      </right>
      <top style="medium">
        <color rgb="FF000000"/>
      </top>
      <bottom/>
      <diagonal/>
    </border>
    <border>
      <left/>
      <right style="thin">
        <color rgb="FF000000"/>
      </right>
      <top/>
      <bottom/>
      <diagonal/>
    </border>
    <border>
      <left style="thin">
        <color rgb="FF000000"/>
      </left>
      <right/>
      <top/>
      <bottom style="thin">
        <color rgb="FF000000"/>
      </bottom>
      <diagonal/>
    </border>
    <border>
      <left style="thin">
        <color rgb="FF000000"/>
      </left>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style="medium">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medium">
        <color indexed="64"/>
      </bottom>
      <diagonal/>
    </border>
    <border>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thin">
        <color indexed="64"/>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rgb="FF000000"/>
      </left>
      <right style="thin">
        <color rgb="FF000000"/>
      </right>
      <top style="medium">
        <color rgb="FF000000"/>
      </top>
      <bottom style="medium">
        <color rgb="FF000000"/>
      </bottom>
      <diagonal/>
    </border>
    <border>
      <left/>
      <right style="thin">
        <color rgb="FF000000"/>
      </right>
      <top style="thin">
        <color rgb="FF000000"/>
      </top>
      <bottom/>
      <diagonal/>
    </border>
    <border>
      <left style="thin">
        <color rgb="FF000000"/>
      </left>
      <right style="thin">
        <color rgb="FF000000"/>
      </right>
      <top style="medium">
        <color indexed="64"/>
      </top>
      <bottom/>
      <diagonal/>
    </border>
    <border>
      <left style="thin">
        <color rgb="FF000000"/>
      </left>
      <right style="medium">
        <color indexed="64"/>
      </right>
      <top style="thin">
        <color rgb="FF000000"/>
      </top>
      <bottom/>
      <diagonal/>
    </border>
    <border>
      <left style="thin">
        <color rgb="FF000000"/>
      </left>
      <right style="thin">
        <color rgb="FF000000"/>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276">
    <xf numFmtId="0" fontId="0" fillId="0" borderId="0" xfId="0"/>
    <xf numFmtId="49" fontId="3" fillId="0" borderId="0" xfId="1" applyNumberFormat="1" applyFont="1" applyAlignment="1">
      <alignment horizontal="center" vertical="center" wrapText="1"/>
    </xf>
    <xf numFmtId="0" fontId="4" fillId="0" borderId="0" xfId="1" applyFont="1" applyAlignment="1">
      <alignment horizontal="center" vertical="center" wrapText="1"/>
    </xf>
    <xf numFmtId="15" fontId="4" fillId="0" borderId="0" xfId="1" applyNumberFormat="1" applyFont="1" applyAlignment="1">
      <alignment horizontal="center" vertical="center"/>
    </xf>
    <xf numFmtId="164" fontId="4" fillId="0" borderId="0" xfId="1" applyNumberFormat="1" applyFont="1" applyAlignment="1">
      <alignment horizontal="center" vertical="center"/>
    </xf>
    <xf numFmtId="164" fontId="4" fillId="0" borderId="0" xfId="1" applyNumberFormat="1" applyFont="1" applyAlignment="1">
      <alignment horizontal="center" vertical="center" wrapText="1"/>
    </xf>
    <xf numFmtId="164" fontId="4" fillId="0" borderId="0" xfId="1" applyNumberFormat="1" applyFont="1" applyAlignment="1">
      <alignment horizontal="left" vertical="center" wrapText="1"/>
    </xf>
    <xf numFmtId="0" fontId="4" fillId="0" borderId="0" xfId="1" applyFont="1" applyAlignment="1">
      <alignment vertical="center"/>
    </xf>
    <xf numFmtId="165" fontId="5" fillId="0" borderId="0" xfId="1" applyNumberFormat="1" applyFont="1"/>
    <xf numFmtId="0" fontId="1" fillId="0" borderId="0" xfId="1"/>
    <xf numFmtId="0" fontId="4" fillId="0" borderId="0" xfId="1" applyFont="1" applyAlignment="1">
      <alignment horizontal="center" vertical="center"/>
    </xf>
    <xf numFmtId="0" fontId="5" fillId="0" borderId="0" xfId="1" applyFont="1"/>
    <xf numFmtId="0" fontId="4" fillId="3" borderId="0" xfId="1" applyFont="1" applyFill="1" applyAlignment="1">
      <alignment horizontal="center" vertical="center" wrapText="1"/>
    </xf>
    <xf numFmtId="15" fontId="4" fillId="3" borderId="0" xfId="1" applyNumberFormat="1" applyFont="1" applyFill="1" applyAlignment="1">
      <alignment horizontal="center" vertical="center"/>
    </xf>
    <xf numFmtId="164" fontId="4" fillId="3" borderId="0" xfId="1" applyNumberFormat="1" applyFont="1" applyFill="1" applyAlignment="1">
      <alignment horizontal="center" vertical="center"/>
    </xf>
    <xf numFmtId="164" fontId="4" fillId="3" borderId="0" xfId="1" applyNumberFormat="1" applyFont="1" applyFill="1" applyAlignment="1">
      <alignment horizontal="center" vertical="center" wrapText="1"/>
    </xf>
    <xf numFmtId="164" fontId="4" fillId="3" borderId="0" xfId="1" applyNumberFormat="1" applyFont="1" applyFill="1" applyAlignment="1">
      <alignment horizontal="left" vertical="center" wrapText="1"/>
    </xf>
    <xf numFmtId="164" fontId="2" fillId="2" borderId="16" xfId="1" applyNumberFormat="1" applyFont="1" applyFill="1" applyBorder="1" applyAlignment="1">
      <alignment horizontal="center" vertical="center" wrapText="1"/>
    </xf>
    <xf numFmtId="0" fontId="2" fillId="2" borderId="16" xfId="1" applyFont="1" applyFill="1" applyBorder="1" applyAlignment="1">
      <alignment horizontal="center" vertical="center" wrapText="1"/>
    </xf>
    <xf numFmtId="166" fontId="2" fillId="2" borderId="17" xfId="1" applyNumberFormat="1" applyFont="1" applyFill="1" applyBorder="1" applyAlignment="1">
      <alignment horizontal="center" vertical="center" wrapText="1"/>
    </xf>
    <xf numFmtId="166" fontId="5" fillId="0" borderId="0" xfId="1" applyNumberFormat="1" applyFont="1" applyAlignment="1">
      <alignment horizontal="right"/>
    </xf>
    <xf numFmtId="0" fontId="4" fillId="0" borderId="18" xfId="1" applyFont="1" applyBorder="1" applyAlignment="1">
      <alignment horizontal="center" vertical="center" wrapText="1"/>
    </xf>
    <xf numFmtId="0" fontId="4" fillId="4" borderId="18" xfId="1" applyFont="1" applyFill="1" applyBorder="1" applyAlignment="1">
      <alignment horizontal="center" vertical="center" wrapText="1"/>
    </xf>
    <xf numFmtId="0" fontId="4" fillId="4" borderId="18" xfId="1" applyFont="1" applyFill="1" applyBorder="1" applyAlignment="1">
      <alignment horizontal="left" vertical="center" wrapText="1"/>
    </xf>
    <xf numFmtId="0" fontId="7" fillId="0" borderId="18" xfId="1" applyFont="1" applyBorder="1" applyAlignment="1">
      <alignment vertical="center" wrapText="1"/>
    </xf>
    <xf numFmtId="165" fontId="4" fillId="0" borderId="19" xfId="1" applyNumberFormat="1" applyFont="1" applyBorder="1" applyAlignment="1">
      <alignment vertical="center"/>
    </xf>
    <xf numFmtId="0" fontId="4" fillId="0" borderId="22" xfId="1" applyFont="1" applyBorder="1" applyAlignment="1">
      <alignment horizontal="center" vertical="center" wrapText="1"/>
    </xf>
    <xf numFmtId="0" fontId="4" fillId="4" borderId="22" xfId="1" applyFont="1" applyFill="1" applyBorder="1" applyAlignment="1">
      <alignment horizontal="center" vertical="center" wrapText="1"/>
    </xf>
    <xf numFmtId="0" fontId="7" fillId="4" borderId="22" xfId="1" applyFont="1" applyFill="1" applyBorder="1" applyAlignment="1">
      <alignment vertical="center" wrapText="1"/>
    </xf>
    <xf numFmtId="0" fontId="7" fillId="0" borderId="22" xfId="1" applyFont="1" applyBorder="1" applyAlignment="1">
      <alignment vertical="center" wrapText="1"/>
    </xf>
    <xf numFmtId="165" fontId="4" fillId="0" borderId="23" xfId="1" applyNumberFormat="1" applyFont="1" applyBorder="1" applyAlignment="1">
      <alignment vertical="center"/>
    </xf>
    <xf numFmtId="0" fontId="4" fillId="4" borderId="22" xfId="1" applyFont="1" applyFill="1" applyBorder="1" applyAlignment="1">
      <alignment horizontal="left" vertical="center" wrapText="1"/>
    </xf>
    <xf numFmtId="49" fontId="4" fillId="0" borderId="22" xfId="1" applyNumberFormat="1" applyFont="1" applyBorder="1" applyAlignment="1">
      <alignment horizontal="center" vertical="center" wrapText="1"/>
    </xf>
    <xf numFmtId="49" fontId="4" fillId="4" borderId="22" xfId="1" applyNumberFormat="1" applyFont="1" applyFill="1" applyBorder="1" applyAlignment="1">
      <alignment horizontal="center" vertical="center" wrapText="1"/>
    </xf>
    <xf numFmtId="0" fontId="7" fillId="4" borderId="24" xfId="1" applyFont="1" applyFill="1" applyBorder="1" applyAlignment="1">
      <alignment wrapText="1"/>
    </xf>
    <xf numFmtId="0" fontId="4" fillId="0" borderId="22" xfId="1" applyFont="1" applyBorder="1" applyAlignment="1">
      <alignment horizontal="left" vertical="center" wrapText="1"/>
    </xf>
    <xf numFmtId="0" fontId="7" fillId="0" borderId="22" xfId="1" applyFont="1" applyBorder="1" applyAlignment="1">
      <alignment horizontal="left" vertical="center" wrapText="1"/>
    </xf>
    <xf numFmtId="0" fontId="4" fillId="3" borderId="22" xfId="1" applyFont="1" applyFill="1" applyBorder="1" applyAlignment="1">
      <alignment horizontal="left" vertical="center" wrapText="1"/>
    </xf>
    <xf numFmtId="0" fontId="4" fillId="3" borderId="24" xfId="1" applyFont="1" applyFill="1" applyBorder="1" applyAlignment="1">
      <alignment horizontal="left" vertical="center" wrapText="1"/>
    </xf>
    <xf numFmtId="0" fontId="4" fillId="0" borderId="24" xfId="1" applyFont="1" applyBorder="1" applyAlignment="1">
      <alignment horizontal="left" vertical="center" wrapText="1"/>
    </xf>
    <xf numFmtId="0" fontId="7" fillId="4" borderId="24" xfId="1" applyFont="1" applyFill="1" applyBorder="1" applyAlignment="1">
      <alignment vertical="center" wrapText="1"/>
    </xf>
    <xf numFmtId="0" fontId="7" fillId="4" borderId="22" xfId="1" applyFont="1" applyFill="1" applyBorder="1" applyAlignment="1">
      <alignment wrapText="1"/>
    </xf>
    <xf numFmtId="0" fontId="4" fillId="0" borderId="25" xfId="1" applyFont="1" applyBorder="1" applyAlignment="1">
      <alignment horizontal="center" vertical="center" wrapText="1"/>
    </xf>
    <xf numFmtId="0" fontId="4" fillId="4" borderId="25" xfId="1" applyFont="1" applyFill="1" applyBorder="1" applyAlignment="1">
      <alignment horizontal="center" vertical="center" wrapText="1"/>
    </xf>
    <xf numFmtId="0" fontId="4" fillId="0" borderId="25" xfId="1" applyFont="1" applyBorder="1" applyAlignment="1">
      <alignment horizontal="left" vertical="center" wrapText="1"/>
    </xf>
    <xf numFmtId="0" fontId="7" fillId="0" borderId="25" xfId="1" applyFont="1" applyBorder="1" applyAlignment="1">
      <alignment vertical="center" wrapText="1"/>
    </xf>
    <xf numFmtId="165" fontId="4" fillId="0" borderId="26" xfId="1" applyNumberFormat="1" applyFont="1" applyBorder="1" applyAlignment="1">
      <alignment vertical="center"/>
    </xf>
    <xf numFmtId="0" fontId="7" fillId="0" borderId="24" xfId="1" applyFont="1" applyBorder="1" applyAlignment="1">
      <alignment horizontal="center" vertical="center" wrapText="1"/>
    </xf>
    <xf numFmtId="0" fontId="7" fillId="0" borderId="24" xfId="1" applyFont="1" applyBorder="1" applyAlignment="1">
      <alignment vertical="center" wrapText="1"/>
    </xf>
    <xf numFmtId="165" fontId="4" fillId="0" borderId="27" xfId="1" applyNumberFormat="1" applyFont="1" applyBorder="1" applyAlignment="1">
      <alignment vertical="center"/>
    </xf>
    <xf numFmtId="0" fontId="7" fillId="0" borderId="22" xfId="1" applyFont="1" applyBorder="1" applyAlignment="1">
      <alignment horizontal="center" vertical="center" wrapText="1"/>
    </xf>
    <xf numFmtId="0" fontId="7" fillId="3" borderId="22" xfId="1" applyFont="1" applyFill="1" applyBorder="1" applyAlignment="1">
      <alignment horizontal="left" vertical="center" wrapText="1"/>
    </xf>
    <xf numFmtId="49" fontId="7" fillId="0" borderId="22" xfId="1" applyNumberFormat="1" applyFont="1" applyBorder="1" applyAlignment="1">
      <alignment horizontal="center" vertical="center" wrapText="1"/>
    </xf>
    <xf numFmtId="0" fontId="4" fillId="4" borderId="28" xfId="1" applyFont="1" applyFill="1" applyBorder="1" applyAlignment="1">
      <alignment horizontal="left" vertical="center" wrapText="1"/>
    </xf>
    <xf numFmtId="0" fontId="7" fillId="3" borderId="29" xfId="1" applyFont="1" applyFill="1" applyBorder="1" applyAlignment="1">
      <alignment horizontal="left" vertical="center" wrapText="1"/>
    </xf>
    <xf numFmtId="0" fontId="7" fillId="0" borderId="30" xfId="1" applyFont="1" applyBorder="1" applyAlignment="1">
      <alignment vertical="center" wrapText="1"/>
    </xf>
    <xf numFmtId="0" fontId="7" fillId="0" borderId="29" xfId="1" applyFont="1" applyBorder="1" applyAlignment="1">
      <alignment vertical="center" wrapText="1"/>
    </xf>
    <xf numFmtId="166" fontId="5" fillId="0" borderId="0" xfId="1" applyNumberFormat="1" applyFont="1"/>
    <xf numFmtId="0" fontId="4" fillId="4" borderId="24" xfId="1" applyFont="1" applyFill="1" applyBorder="1" applyAlignment="1">
      <alignment wrapText="1"/>
    </xf>
    <xf numFmtId="0" fontId="7" fillId="0" borderId="29" xfId="1" applyFont="1" applyBorder="1" applyAlignment="1">
      <alignment horizontal="center" vertical="center" wrapText="1"/>
    </xf>
    <xf numFmtId="165" fontId="4" fillId="0" borderId="31" xfId="1" applyNumberFormat="1" applyFont="1" applyBorder="1" applyAlignment="1">
      <alignment vertical="center"/>
    </xf>
    <xf numFmtId="0" fontId="4" fillId="4" borderId="32" xfId="1" applyFont="1" applyFill="1" applyBorder="1" applyAlignment="1">
      <alignment horizontal="left" wrapText="1"/>
    </xf>
    <xf numFmtId="0" fontId="4" fillId="0" borderId="32" xfId="1" applyFont="1" applyBorder="1" applyAlignment="1">
      <alignment vertical="center" wrapText="1"/>
    </xf>
    <xf numFmtId="0" fontId="4" fillId="4" borderId="33" xfId="1" applyFont="1" applyFill="1" applyBorder="1" applyAlignment="1">
      <alignment horizontal="left" wrapText="1"/>
    </xf>
    <xf numFmtId="0" fontId="4" fillId="0" borderId="33" xfId="1" applyFont="1" applyBorder="1" applyAlignment="1">
      <alignment vertical="center" wrapText="1"/>
    </xf>
    <xf numFmtId="0" fontId="4" fillId="4" borderId="33" xfId="1" applyFont="1" applyFill="1" applyBorder="1" applyAlignment="1">
      <alignment wrapText="1"/>
    </xf>
    <xf numFmtId="0" fontId="4" fillId="0" borderId="33" xfId="1" applyFont="1" applyBorder="1" applyAlignment="1">
      <alignment horizontal="left" wrapText="1"/>
    </xf>
    <xf numFmtId="0" fontId="4" fillId="0" borderId="34" xfId="1" applyFont="1" applyBorder="1" applyAlignment="1">
      <alignment horizontal="center" wrapText="1"/>
    </xf>
    <xf numFmtId="0" fontId="4" fillId="4" borderId="34" xfId="1" applyFont="1" applyFill="1" applyBorder="1" applyAlignment="1">
      <alignment horizontal="left" wrapText="1"/>
    </xf>
    <xf numFmtId="0" fontId="4" fillId="0" borderId="34" xfId="1" applyFont="1" applyBorder="1" applyAlignment="1">
      <alignment vertical="center" wrapText="1"/>
    </xf>
    <xf numFmtId="0" fontId="4" fillId="0" borderId="21" xfId="1" applyFont="1" applyBorder="1" applyAlignment="1">
      <alignment horizontal="center" vertical="center" wrapText="1"/>
    </xf>
    <xf numFmtId="0" fontId="4" fillId="0" borderId="24" xfId="1" applyFont="1" applyBorder="1" applyAlignment="1">
      <alignment horizontal="center" vertical="center" wrapText="1"/>
    </xf>
    <xf numFmtId="0" fontId="4" fillId="4" borderId="24" xfId="1" applyFont="1" applyFill="1" applyBorder="1" applyAlignment="1">
      <alignment horizontal="center" vertical="center" wrapText="1"/>
    </xf>
    <xf numFmtId="0" fontId="4" fillId="4" borderId="24" xfId="1" applyFont="1" applyFill="1" applyBorder="1" applyAlignment="1">
      <alignment horizontal="left" vertical="center" wrapText="1"/>
    </xf>
    <xf numFmtId="166" fontId="2" fillId="0" borderId="35" xfId="1" applyNumberFormat="1" applyFont="1" applyBorder="1" applyAlignment="1">
      <alignment horizontal="center" vertical="center" wrapText="1"/>
    </xf>
    <xf numFmtId="164" fontId="2" fillId="2" borderId="8" xfId="1" applyNumberFormat="1" applyFont="1" applyFill="1" applyBorder="1" applyAlignment="1">
      <alignment horizontal="center" vertical="center" wrapText="1"/>
    </xf>
    <xf numFmtId="166" fontId="2" fillId="2" borderId="35" xfId="1" applyNumberFormat="1" applyFont="1" applyFill="1" applyBorder="1" applyAlignment="1">
      <alignment horizontal="center" vertical="center" wrapText="1"/>
    </xf>
    <xf numFmtId="0" fontId="7" fillId="0" borderId="18" xfId="1" applyFont="1" applyBorder="1" applyAlignment="1">
      <alignment horizontal="left" vertical="center" wrapText="1"/>
    </xf>
    <xf numFmtId="0" fontId="7" fillId="0" borderId="3" xfId="1" applyFont="1" applyBorder="1" applyAlignment="1">
      <alignment horizontal="left" vertical="center" wrapText="1"/>
    </xf>
    <xf numFmtId="0" fontId="7" fillId="0" borderId="8" xfId="1" applyFont="1" applyBorder="1" applyAlignment="1">
      <alignment horizontal="left" vertical="center" wrapText="1"/>
    </xf>
    <xf numFmtId="166" fontId="5" fillId="0" borderId="0" xfId="1" applyNumberFormat="1" applyFont="1" applyAlignment="1">
      <alignment vertical="center"/>
    </xf>
    <xf numFmtId="0" fontId="7" fillId="0" borderId="29" xfId="1" applyFont="1" applyBorder="1" applyAlignment="1">
      <alignment horizontal="left" vertical="center" wrapText="1"/>
    </xf>
    <xf numFmtId="0" fontId="7" fillId="0" borderId="24" xfId="1" applyFont="1" applyBorder="1" applyAlignment="1">
      <alignment horizontal="left" vertical="center" wrapText="1"/>
    </xf>
    <xf numFmtId="0" fontId="7" fillId="0" borderId="21" xfId="1" applyFont="1" applyBorder="1" applyAlignment="1">
      <alignment horizontal="left" vertical="center" wrapText="1"/>
    </xf>
    <xf numFmtId="0" fontId="4" fillId="0" borderId="28" xfId="1" applyFont="1" applyBorder="1" applyAlignment="1">
      <alignment horizontal="left" vertical="center" wrapText="1"/>
    </xf>
    <xf numFmtId="0" fontId="4" fillId="0" borderId="24" xfId="1" applyFont="1" applyBorder="1" applyAlignment="1">
      <alignment horizontal="left" wrapText="1"/>
    </xf>
    <xf numFmtId="0" fontId="4" fillId="0" borderId="33" xfId="1" applyFont="1" applyBorder="1" applyAlignment="1">
      <alignment horizontal="left" vertical="center" wrapText="1"/>
    </xf>
    <xf numFmtId="0" fontId="7" fillId="0" borderId="37" xfId="1" applyFont="1" applyBorder="1" applyAlignment="1">
      <alignment horizontal="left" vertical="center" wrapText="1"/>
    </xf>
    <xf numFmtId="49" fontId="4" fillId="0" borderId="24" xfId="1" applyNumberFormat="1" applyFont="1" applyBorder="1" applyAlignment="1">
      <alignment horizontal="center" vertical="center" wrapText="1"/>
    </xf>
    <xf numFmtId="0" fontId="7" fillId="4" borderId="21" xfId="1" applyFont="1" applyFill="1" applyBorder="1" applyAlignment="1">
      <alignment horizontal="left" vertical="center" wrapText="1"/>
    </xf>
    <xf numFmtId="0" fontId="7" fillId="4" borderId="22" xfId="1" applyFont="1" applyFill="1" applyBorder="1" applyAlignment="1">
      <alignment horizontal="left" vertical="center" wrapText="1"/>
    </xf>
    <xf numFmtId="0" fontId="4" fillId="0" borderId="8" xfId="1" applyFont="1" applyBorder="1" applyAlignment="1">
      <alignment horizontal="center" vertical="center" wrapText="1"/>
    </xf>
    <xf numFmtId="0" fontId="7" fillId="4" borderId="8" xfId="1" applyFont="1" applyFill="1" applyBorder="1" applyAlignment="1">
      <alignment horizontal="left" vertical="center" wrapText="1"/>
    </xf>
    <xf numFmtId="164" fontId="2" fillId="0" borderId="29" xfId="1" applyNumberFormat="1" applyFont="1" applyBorder="1" applyAlignment="1">
      <alignment horizontal="center" vertical="center" wrapText="1"/>
    </xf>
    <xf numFmtId="165" fontId="4" fillId="0" borderId="31" xfId="1" applyNumberFormat="1" applyFont="1" applyBorder="1" applyAlignment="1">
      <alignment horizontal="center" vertical="center"/>
    </xf>
    <xf numFmtId="0" fontId="4" fillId="0" borderId="22" xfId="1" applyFont="1" applyBorder="1" applyAlignment="1">
      <alignment horizontal="left"/>
    </xf>
    <xf numFmtId="0" fontId="4" fillId="0" borderId="24" xfId="1" applyFont="1" applyBorder="1" applyAlignment="1">
      <alignment horizontal="left"/>
    </xf>
    <xf numFmtId="165" fontId="4" fillId="0" borderId="23" xfId="1" applyNumberFormat="1" applyFont="1" applyBorder="1" applyAlignment="1">
      <alignment horizontal="center" vertical="center"/>
    </xf>
    <xf numFmtId="0" fontId="4" fillId="0" borderId="29" xfId="1" applyFont="1" applyBorder="1" applyAlignment="1">
      <alignment horizontal="left" wrapText="1"/>
    </xf>
    <xf numFmtId="0" fontId="4" fillId="0" borderId="38" xfId="1" applyFont="1" applyBorder="1" applyAlignment="1">
      <alignment horizontal="center" vertical="center" wrapText="1"/>
    </xf>
    <xf numFmtId="0" fontId="4" fillId="0" borderId="22" xfId="1" applyFont="1" applyBorder="1" applyAlignment="1">
      <alignment horizontal="left" wrapText="1"/>
    </xf>
    <xf numFmtId="0" fontId="4" fillId="0" borderId="39" xfId="1" applyFont="1" applyBorder="1" applyAlignment="1">
      <alignment horizontal="center" vertical="center" wrapText="1"/>
    </xf>
    <xf numFmtId="0" fontId="4" fillId="0" borderId="29" xfId="1" applyFont="1" applyBorder="1" applyAlignment="1">
      <alignment horizontal="center" vertical="center" wrapText="1"/>
    </xf>
    <xf numFmtId="0" fontId="4" fillId="0" borderId="29" xfId="1" applyFont="1" applyBorder="1" applyAlignment="1">
      <alignment horizontal="left" vertical="center" wrapText="1"/>
    </xf>
    <xf numFmtId="0" fontId="4" fillId="0" borderId="42" xfId="1" applyFont="1" applyBorder="1" applyAlignment="1">
      <alignment horizontal="center" vertical="center" wrapText="1"/>
    </xf>
    <xf numFmtId="0" fontId="4" fillId="0" borderId="42" xfId="1" applyFont="1" applyBorder="1" applyAlignment="1">
      <alignment horizontal="left"/>
    </xf>
    <xf numFmtId="0" fontId="4" fillId="0" borderId="43" xfId="1" applyFont="1" applyBorder="1" applyAlignment="1">
      <alignment horizontal="left" wrapText="1"/>
    </xf>
    <xf numFmtId="165" fontId="4" fillId="0" borderId="44" xfId="1" applyNumberFormat="1" applyFont="1" applyBorder="1" applyAlignment="1">
      <alignment vertical="center"/>
    </xf>
    <xf numFmtId="165" fontId="4" fillId="0" borderId="46" xfId="1" applyNumberFormat="1" applyFont="1" applyBorder="1" applyAlignment="1">
      <alignment vertical="center"/>
    </xf>
    <xf numFmtId="0" fontId="4" fillId="0" borderId="47" xfId="1" applyFont="1" applyBorder="1" applyAlignment="1">
      <alignment horizontal="center" vertical="center" wrapText="1"/>
    </xf>
    <xf numFmtId="0" fontId="4" fillId="0" borderId="50" xfId="1" applyFont="1" applyBorder="1" applyAlignment="1">
      <alignment horizontal="center" vertical="center" wrapText="1"/>
    </xf>
    <xf numFmtId="0" fontId="7" fillId="0" borderId="50" xfId="1" applyFont="1" applyBorder="1" applyAlignment="1">
      <alignment horizontal="left" vertical="center" wrapText="1"/>
    </xf>
    <xf numFmtId="0" fontId="7" fillId="0" borderId="49" xfId="1" applyFont="1" applyBorder="1" applyAlignment="1">
      <alignment horizontal="left" vertical="center" wrapText="1"/>
    </xf>
    <xf numFmtId="165" fontId="4" fillId="0" borderId="51" xfId="1" applyNumberFormat="1" applyFont="1" applyBorder="1" applyAlignment="1">
      <alignment vertical="center"/>
    </xf>
    <xf numFmtId="0" fontId="4" fillId="0" borderId="52" xfId="1" applyFont="1" applyBorder="1" applyAlignment="1">
      <alignment horizontal="center" vertical="center" wrapText="1"/>
    </xf>
    <xf numFmtId="0" fontId="4" fillId="0" borderId="52" xfId="1" applyFont="1" applyBorder="1" applyAlignment="1">
      <alignment horizontal="left"/>
    </xf>
    <xf numFmtId="0" fontId="4" fillId="0" borderId="52" xfId="1" applyFont="1" applyBorder="1" applyAlignment="1">
      <alignment horizontal="left" wrapText="1"/>
    </xf>
    <xf numFmtId="165" fontId="4" fillId="0" borderId="52" xfId="1" applyNumberFormat="1" applyFont="1" applyBorder="1" applyAlignment="1">
      <alignment vertical="center"/>
    </xf>
    <xf numFmtId="0" fontId="4" fillId="0" borderId="47" xfId="1" applyFont="1" applyBorder="1" applyAlignment="1">
      <alignment horizontal="left"/>
    </xf>
    <xf numFmtId="0" fontId="4" fillId="0" borderId="47" xfId="1" applyFont="1" applyBorder="1" applyAlignment="1">
      <alignment horizontal="left" wrapText="1"/>
    </xf>
    <xf numFmtId="165" fontId="4" fillId="0" borderId="47" xfId="1" applyNumberFormat="1" applyFont="1" applyBorder="1" applyAlignment="1">
      <alignment vertical="center"/>
    </xf>
    <xf numFmtId="0" fontId="7" fillId="0" borderId="47" xfId="1" applyFont="1" applyBorder="1" applyAlignment="1">
      <alignment horizontal="left" vertical="center" wrapText="1"/>
    </xf>
    <xf numFmtId="49" fontId="4" fillId="0" borderId="47" xfId="1" applyNumberFormat="1" applyFont="1" applyBorder="1" applyAlignment="1">
      <alignment horizontal="center" vertical="center" wrapText="1"/>
    </xf>
    <xf numFmtId="0" fontId="4" fillId="0" borderId="47" xfId="1" applyFont="1" applyBorder="1" applyAlignment="1">
      <alignment horizontal="left" vertical="center" wrapText="1"/>
    </xf>
    <xf numFmtId="0" fontId="4" fillId="5" borderId="47" xfId="1" applyFont="1" applyFill="1" applyBorder="1" applyAlignment="1">
      <alignment horizontal="center" vertical="center" wrapText="1"/>
    </xf>
    <xf numFmtId="0" fontId="4" fillId="0" borderId="47" xfId="1" applyFont="1" applyBorder="1" applyAlignment="1">
      <alignment vertical="center" wrapText="1"/>
    </xf>
    <xf numFmtId="0" fontId="4" fillId="0" borderId="47" xfId="1" applyFont="1" applyBorder="1" applyAlignment="1">
      <alignment horizontal="right" vertical="center" wrapText="1"/>
    </xf>
    <xf numFmtId="0" fontId="4" fillId="0" borderId="53" xfId="1" applyFont="1" applyBorder="1" applyAlignment="1">
      <alignment horizontal="center" vertical="center" wrapText="1"/>
    </xf>
    <xf numFmtId="0" fontId="4" fillId="0" borderId="53" xfId="1" applyFont="1" applyBorder="1" applyAlignment="1">
      <alignment vertical="center" wrapText="1"/>
    </xf>
    <xf numFmtId="0" fontId="4" fillId="0" borderId="53" xfId="1" applyFont="1" applyBorder="1" applyAlignment="1">
      <alignment horizontal="right" vertical="center" wrapText="1"/>
    </xf>
    <xf numFmtId="0" fontId="7" fillId="0" borderId="54" xfId="1" applyFont="1" applyBorder="1" applyAlignment="1">
      <alignment horizontal="center" vertical="center" wrapText="1"/>
    </xf>
    <xf numFmtId="0" fontId="7" fillId="0" borderId="55" xfId="1" applyFont="1" applyBorder="1" applyAlignment="1">
      <alignment horizontal="center" vertical="center" wrapText="1"/>
    </xf>
    <xf numFmtId="169" fontId="7" fillId="0" borderId="55" xfId="1" applyNumberFormat="1" applyFont="1" applyBorder="1" applyAlignment="1">
      <alignment horizontal="center" vertical="center" wrapText="1"/>
    </xf>
    <xf numFmtId="0" fontId="4" fillId="0" borderId="56" xfId="1" applyFont="1" applyBorder="1" applyAlignment="1">
      <alignment horizontal="center" vertical="center" wrapText="1"/>
    </xf>
    <xf numFmtId="0" fontId="4" fillId="0" borderId="56" xfId="1" applyFont="1" applyBorder="1" applyAlignment="1">
      <alignment horizontal="center" vertical="center"/>
    </xf>
    <xf numFmtId="0" fontId="4" fillId="0" borderId="57" xfId="1" applyFont="1" applyBorder="1" applyAlignment="1">
      <alignment horizontal="left" wrapText="1"/>
    </xf>
    <xf numFmtId="165" fontId="4" fillId="0" borderId="58" xfId="1" applyNumberFormat="1" applyFont="1" applyBorder="1" applyAlignment="1">
      <alignment vertical="center"/>
    </xf>
    <xf numFmtId="164" fontId="2" fillId="2" borderId="16" xfId="1" applyNumberFormat="1" applyFont="1" applyFill="1" applyBorder="1" applyAlignment="1">
      <alignment horizontal="left" vertical="center" wrapText="1"/>
    </xf>
    <xf numFmtId="0" fontId="4" fillId="0" borderId="59" xfId="1" applyFont="1" applyBorder="1" applyAlignment="1">
      <alignment horizontal="center" vertical="center" wrapText="1"/>
    </xf>
    <xf numFmtId="0" fontId="4" fillId="0" borderId="16" xfId="1" applyFont="1" applyBorder="1" applyAlignment="1">
      <alignment horizontal="center" vertical="center" wrapText="1"/>
    </xf>
    <xf numFmtId="169" fontId="4" fillId="0" borderId="16" xfId="1" applyNumberFormat="1" applyFont="1" applyBorder="1" applyAlignment="1">
      <alignment horizontal="center" vertical="center"/>
    </xf>
    <xf numFmtId="10" fontId="7" fillId="0" borderId="16" xfId="1" applyNumberFormat="1" applyFont="1" applyBorder="1" applyAlignment="1">
      <alignment horizontal="center" vertical="center"/>
    </xf>
    <xf numFmtId="0" fontId="7" fillId="0" borderId="16" xfId="1" applyFont="1" applyBorder="1" applyAlignment="1">
      <alignment horizontal="left" vertical="center" wrapText="1"/>
    </xf>
    <xf numFmtId="166" fontId="8" fillId="4" borderId="0" xfId="1" applyNumberFormat="1" applyFont="1" applyFill="1"/>
    <xf numFmtId="0" fontId="4" fillId="4" borderId="22" xfId="1" applyFont="1" applyFill="1" applyBorder="1" applyAlignment="1">
      <alignment vertical="center" wrapText="1"/>
    </xf>
    <xf numFmtId="0" fontId="7" fillId="0" borderId="25" xfId="1" applyFont="1" applyBorder="1" applyAlignment="1">
      <alignment horizontal="left" vertical="center" wrapText="1"/>
    </xf>
    <xf numFmtId="165" fontId="4" fillId="0" borderId="19" xfId="1" applyNumberFormat="1" applyFont="1" applyBorder="1" applyAlignment="1">
      <alignment horizontal="center" vertical="center"/>
    </xf>
    <xf numFmtId="49" fontId="4" fillId="0" borderId="18" xfId="1" applyNumberFormat="1" applyFont="1" applyBorder="1" applyAlignment="1">
      <alignment horizontal="center" vertical="center" wrapText="1"/>
    </xf>
    <xf numFmtId="0" fontId="4" fillId="4" borderId="24" xfId="1" applyFont="1" applyFill="1" applyBorder="1" applyAlignment="1">
      <alignment horizontal="left"/>
    </xf>
    <xf numFmtId="0" fontId="4" fillId="0" borderId="21" xfId="1" applyFont="1" applyBorder="1" applyAlignment="1">
      <alignment horizontal="left"/>
    </xf>
    <xf numFmtId="0" fontId="4" fillId="0" borderId="29" xfId="1" applyFont="1" applyBorder="1" applyAlignment="1">
      <alignment horizontal="left"/>
    </xf>
    <xf numFmtId="0" fontId="7" fillId="0" borderId="6" xfId="1" applyFont="1" applyBorder="1" applyAlignment="1">
      <alignment horizontal="left" vertical="center" wrapText="1"/>
    </xf>
    <xf numFmtId="0" fontId="7" fillId="0" borderId="11" xfId="1" applyFont="1" applyBorder="1" applyAlignment="1">
      <alignment horizontal="left" vertical="center" wrapText="1"/>
    </xf>
    <xf numFmtId="0" fontId="7" fillId="0" borderId="29" xfId="1" applyFont="1" applyBorder="1" applyAlignment="1">
      <alignment horizontal="center" wrapText="1"/>
    </xf>
    <xf numFmtId="0" fontId="7" fillId="0" borderId="60" xfId="1" applyFont="1" applyBorder="1" applyAlignment="1">
      <alignment horizontal="center" wrapText="1"/>
    </xf>
    <xf numFmtId="0" fontId="7" fillId="0" borderId="37" xfId="1" applyFont="1" applyBorder="1" applyAlignment="1">
      <alignment wrapText="1"/>
    </xf>
    <xf numFmtId="0" fontId="7" fillId="0" borderId="60" xfId="1" applyFont="1" applyBorder="1" applyAlignment="1">
      <alignment vertical="center" wrapText="1"/>
    </xf>
    <xf numFmtId="0" fontId="7" fillId="0" borderId="22" xfId="1" applyFont="1" applyBorder="1" applyAlignment="1">
      <alignment wrapText="1"/>
    </xf>
    <xf numFmtId="0" fontId="7" fillId="0" borderId="42" xfId="1" applyFont="1" applyBorder="1" applyAlignment="1">
      <alignment horizontal="left" vertical="center" wrapText="1"/>
    </xf>
    <xf numFmtId="165" fontId="4" fillId="0" borderId="62" xfId="1" applyNumberFormat="1" applyFont="1" applyBorder="1" applyAlignment="1">
      <alignment vertical="center"/>
    </xf>
    <xf numFmtId="165" fontId="4" fillId="0" borderId="44" xfId="1" applyNumberFormat="1" applyFont="1" applyBorder="1" applyAlignment="1">
      <alignment horizontal="center" vertical="center"/>
    </xf>
    <xf numFmtId="0" fontId="7" fillId="0" borderId="63" xfId="1" applyFont="1" applyBorder="1" applyAlignment="1">
      <alignment horizontal="left" vertical="center" wrapText="1"/>
    </xf>
    <xf numFmtId="0" fontId="7" fillId="0" borderId="63" xfId="1" applyFont="1" applyBorder="1" applyAlignment="1">
      <alignment horizontal="center" vertical="center" wrapText="1"/>
    </xf>
    <xf numFmtId="0" fontId="7" fillId="0" borderId="25" xfId="1" applyFont="1" applyBorder="1" applyAlignment="1">
      <alignment horizontal="center" vertical="center" wrapText="1"/>
    </xf>
    <xf numFmtId="0" fontId="4" fillId="0" borderId="28" xfId="1" applyFont="1" applyBorder="1" applyAlignment="1">
      <alignment horizontal="left" wrapText="1"/>
    </xf>
    <xf numFmtId="0" fontId="2" fillId="0" borderId="29" xfId="1" applyFont="1" applyBorder="1" applyAlignment="1">
      <alignment horizontal="left" vertical="center" wrapText="1"/>
    </xf>
    <xf numFmtId="0" fontId="4" fillId="0" borderId="18" xfId="1" applyFont="1" applyBorder="1" applyAlignment="1">
      <alignment horizontal="left"/>
    </xf>
    <xf numFmtId="0" fontId="4" fillId="0" borderId="32" xfId="1" applyFont="1" applyBorder="1" applyAlignment="1">
      <alignment horizontal="left" wrapText="1"/>
    </xf>
    <xf numFmtId="0" fontId="5" fillId="0" borderId="0" xfId="1" applyFont="1" applyAlignment="1">
      <alignment horizontal="right"/>
    </xf>
    <xf numFmtId="0" fontId="9" fillId="4" borderId="22" xfId="1" applyFont="1" applyFill="1" applyBorder="1" applyAlignment="1">
      <alignment wrapText="1"/>
    </xf>
    <xf numFmtId="0" fontId="4" fillId="0" borderId="65" xfId="1" applyFont="1" applyBorder="1" applyAlignment="1">
      <alignment horizontal="center" vertical="center" wrapText="1"/>
    </xf>
    <xf numFmtId="0" fontId="7" fillId="0" borderId="65" xfId="1" applyFont="1" applyBorder="1" applyAlignment="1">
      <alignment horizontal="left" vertical="center" wrapText="1"/>
    </xf>
    <xf numFmtId="165" fontId="4" fillId="0" borderId="66" xfId="1" applyNumberFormat="1" applyFont="1" applyBorder="1" applyAlignment="1">
      <alignment horizontal="center" vertical="center"/>
    </xf>
    <xf numFmtId="0" fontId="9" fillId="4" borderId="47" xfId="1" applyFont="1" applyFill="1" applyBorder="1" applyAlignment="1">
      <alignment wrapText="1"/>
    </xf>
    <xf numFmtId="165" fontId="4" fillId="0" borderId="68" xfId="1" applyNumberFormat="1" applyFont="1" applyBorder="1" applyAlignment="1">
      <alignment vertical="center"/>
    </xf>
    <xf numFmtId="165" fontId="4" fillId="0" borderId="69" xfId="1" applyNumberFormat="1" applyFont="1" applyBorder="1" applyAlignment="1">
      <alignment vertical="center"/>
    </xf>
    <xf numFmtId="0" fontId="4" fillId="0" borderId="71" xfId="1" applyFont="1" applyBorder="1" applyAlignment="1">
      <alignment horizontal="center" vertical="center" wrapText="1"/>
    </xf>
    <xf numFmtId="0" fontId="4" fillId="0" borderId="71" xfId="1" applyFont="1" applyBorder="1" applyAlignment="1">
      <alignment vertical="center" wrapText="1"/>
    </xf>
    <xf numFmtId="0" fontId="9" fillId="6" borderId="71" xfId="1" applyFont="1" applyFill="1" applyBorder="1" applyAlignment="1">
      <alignment wrapText="1"/>
    </xf>
    <xf numFmtId="165" fontId="4" fillId="0" borderId="72" xfId="1" applyNumberFormat="1" applyFont="1" applyBorder="1" applyAlignment="1">
      <alignment vertical="center"/>
    </xf>
    <xf numFmtId="165" fontId="4" fillId="0" borderId="27" xfId="1" applyNumberFormat="1" applyFont="1" applyBorder="1" applyAlignment="1">
      <alignment horizontal="center" vertical="center"/>
    </xf>
    <xf numFmtId="0" fontId="4" fillId="0" borderId="63" xfId="1" applyFont="1" applyBorder="1" applyAlignment="1">
      <alignment horizontal="center" vertical="center" wrapText="1"/>
    </xf>
    <xf numFmtId="0" fontId="9" fillId="4" borderId="63" xfId="1" applyFont="1" applyFill="1" applyBorder="1" applyAlignment="1">
      <alignment wrapText="1"/>
    </xf>
    <xf numFmtId="0" fontId="1" fillId="0" borderId="0" xfId="1" applyAlignment="1">
      <alignment wrapText="1"/>
    </xf>
    <xf numFmtId="165" fontId="1" fillId="0" borderId="0" xfId="1" applyNumberFormat="1"/>
    <xf numFmtId="49" fontId="2" fillId="2" borderId="1" xfId="1" applyNumberFormat="1" applyFont="1" applyFill="1" applyBorder="1" applyAlignment="1">
      <alignment horizontal="center" vertical="center" wrapText="1"/>
    </xf>
    <xf numFmtId="0" fontId="6" fillId="0" borderId="2" xfId="1" applyFont="1" applyBorder="1"/>
    <xf numFmtId="0" fontId="4" fillId="0" borderId="0" xfId="1" applyFont="1" applyAlignment="1">
      <alignment horizontal="center" vertical="center"/>
    </xf>
    <xf numFmtId="0" fontId="1" fillId="0" borderId="0" xfId="1"/>
    <xf numFmtId="0" fontId="3" fillId="0" borderId="0" xfId="1" applyFont="1" applyAlignment="1">
      <alignment horizontal="center" vertical="center"/>
    </xf>
    <xf numFmtId="49" fontId="2" fillId="2" borderId="3" xfId="1" applyNumberFormat="1" applyFont="1" applyFill="1" applyBorder="1" applyAlignment="1">
      <alignment horizontal="center" vertical="center" wrapText="1"/>
    </xf>
    <xf numFmtId="0" fontId="6" fillId="0" borderId="8" xfId="1" applyFont="1" applyBorder="1"/>
    <xf numFmtId="0" fontId="3" fillId="2" borderId="3" xfId="1" applyFont="1" applyFill="1" applyBorder="1" applyAlignment="1">
      <alignment horizontal="center" vertical="center" wrapText="1"/>
    </xf>
    <xf numFmtId="0" fontId="2" fillId="2" borderId="3" xfId="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0" fontId="6" fillId="0" borderId="9" xfId="1" applyFont="1" applyBorder="1"/>
    <xf numFmtId="0" fontId="4" fillId="0" borderId="21" xfId="1" applyFont="1" applyBorder="1" applyAlignment="1">
      <alignment horizontal="center" vertical="center"/>
    </xf>
    <xf numFmtId="0" fontId="6" fillId="0" borderId="21" xfId="1" applyFont="1" applyBorder="1"/>
    <xf numFmtId="49" fontId="7" fillId="0" borderId="21" xfId="1" applyNumberFormat="1" applyFont="1" applyBorder="1" applyAlignment="1">
      <alignment horizontal="center" vertical="center" wrapText="1"/>
    </xf>
    <xf numFmtId="0" fontId="7" fillId="0" borderId="21" xfId="1" applyFont="1" applyBorder="1" applyAlignment="1">
      <alignment horizontal="center" vertical="center" wrapText="1"/>
    </xf>
    <xf numFmtId="168" fontId="7" fillId="0" borderId="21" xfId="1" applyNumberFormat="1" applyFont="1" applyBorder="1" applyAlignment="1">
      <alignment horizontal="center" vertical="center"/>
    </xf>
    <xf numFmtId="0" fontId="7" fillId="0" borderId="21" xfId="1" applyFont="1" applyBorder="1" applyAlignment="1">
      <alignment horizontal="center" vertical="center"/>
    </xf>
    <xf numFmtId="4" fontId="2" fillId="2" borderId="5" xfId="1" applyNumberFormat="1" applyFont="1" applyFill="1" applyBorder="1" applyAlignment="1">
      <alignment horizontal="center" vertical="center" wrapText="1"/>
    </xf>
    <xf numFmtId="0" fontId="6" fillId="0" borderId="6" xfId="1" applyFont="1" applyBorder="1"/>
    <xf numFmtId="0" fontId="6" fillId="0" borderId="7" xfId="1" applyFont="1" applyBorder="1"/>
    <xf numFmtId="0" fontId="6" fillId="0" borderId="10" xfId="1" applyFont="1" applyBorder="1"/>
    <xf numFmtId="0" fontId="6" fillId="0" borderId="11" xfId="1" applyFont="1" applyBorder="1"/>
    <xf numFmtId="0" fontId="6" fillId="0" borderId="12" xfId="1" applyFont="1" applyBorder="1"/>
    <xf numFmtId="0" fontId="3" fillId="2" borderId="7" xfId="1" applyFont="1" applyFill="1" applyBorder="1" applyAlignment="1">
      <alignment horizontal="center" vertical="center"/>
    </xf>
    <xf numFmtId="0" fontId="3" fillId="2" borderId="12" xfId="1" applyFont="1" applyFill="1" applyBorder="1" applyAlignment="1">
      <alignment horizontal="center" vertical="center"/>
    </xf>
    <xf numFmtId="0" fontId="2" fillId="2" borderId="13" xfId="1" applyFont="1" applyFill="1" applyBorder="1" applyAlignment="1">
      <alignment horizontal="center" vertical="center" wrapText="1"/>
    </xf>
    <xf numFmtId="0" fontId="6" fillId="0" borderId="14" xfId="1" applyFont="1" applyBorder="1"/>
    <xf numFmtId="0" fontId="6" fillId="0" borderId="15" xfId="1" applyFont="1" applyBorder="1"/>
    <xf numFmtId="0" fontId="4" fillId="0" borderId="1" xfId="1" applyFont="1" applyBorder="1" applyAlignment="1">
      <alignment horizontal="center" vertical="center" wrapText="1"/>
    </xf>
    <xf numFmtId="0" fontId="6" fillId="0" borderId="20" xfId="1" applyFont="1" applyBorder="1"/>
    <xf numFmtId="0" fontId="4" fillId="0" borderId="3" xfId="1" applyFont="1" applyBorder="1" applyAlignment="1">
      <alignment horizontal="center" vertical="center" wrapText="1"/>
    </xf>
    <xf numFmtId="167" fontId="4" fillId="0" borderId="3" xfId="1" applyNumberFormat="1" applyFont="1" applyBorder="1" applyAlignment="1">
      <alignment horizontal="center" vertical="center"/>
    </xf>
    <xf numFmtId="10" fontId="7" fillId="0" borderId="3" xfId="1" applyNumberFormat="1" applyFont="1" applyBorder="1" applyAlignment="1">
      <alignment horizontal="center" vertical="center"/>
    </xf>
    <xf numFmtId="0" fontId="4" fillId="0" borderId="20" xfId="1" applyFont="1" applyBorder="1" applyAlignment="1">
      <alignment horizontal="center" vertical="center" wrapText="1"/>
    </xf>
    <xf numFmtId="0" fontId="4" fillId="0" borderId="21" xfId="1" applyFont="1" applyBorder="1" applyAlignment="1">
      <alignment horizontal="center" vertical="center" wrapText="1"/>
    </xf>
    <xf numFmtId="167" fontId="4" fillId="0" borderId="21" xfId="1" applyNumberFormat="1" applyFont="1" applyBorder="1" applyAlignment="1">
      <alignment horizontal="center" vertical="center"/>
    </xf>
    <xf numFmtId="10" fontId="7" fillId="0" borderId="21" xfId="1" applyNumberFormat="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xf>
    <xf numFmtId="168" fontId="4" fillId="0" borderId="3" xfId="1" applyNumberFormat="1" applyFont="1" applyBorder="1" applyAlignment="1">
      <alignment horizontal="center" vertical="center"/>
    </xf>
    <xf numFmtId="10" fontId="4" fillId="0" borderId="3"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36" xfId="1" applyFont="1" applyBorder="1" applyAlignment="1">
      <alignment horizontal="center" vertical="center" wrapText="1"/>
    </xf>
    <xf numFmtId="0" fontId="6" fillId="0" borderId="37" xfId="1" applyFont="1" applyBorder="1"/>
    <xf numFmtId="0" fontId="6" fillId="0" borderId="34" xfId="1" applyFont="1" applyBorder="1"/>
    <xf numFmtId="169" fontId="7" fillId="0" borderId="36" xfId="1" applyNumberFormat="1" applyFont="1" applyBorder="1" applyAlignment="1">
      <alignment horizontal="center" vertical="center" wrapText="1"/>
    </xf>
    <xf numFmtId="10" fontId="7" fillId="0" borderId="36" xfId="1" applyNumberFormat="1" applyFont="1" applyBorder="1" applyAlignment="1">
      <alignment horizontal="center" vertical="center" wrapText="1"/>
    </xf>
    <xf numFmtId="0" fontId="2" fillId="2" borderId="10" xfId="1" applyFont="1" applyFill="1" applyBorder="1" applyAlignment="1">
      <alignment horizontal="center" vertical="center" wrapText="1"/>
    </xf>
    <xf numFmtId="0" fontId="7" fillId="0" borderId="52" xfId="1" applyFont="1" applyBorder="1" applyAlignment="1">
      <alignment horizontal="center" vertical="center" wrapText="1"/>
    </xf>
    <xf numFmtId="0" fontId="7" fillId="0" borderId="47" xfId="1" applyFont="1" applyBorder="1" applyAlignment="1">
      <alignment horizontal="center" vertical="center" wrapText="1"/>
    </xf>
    <xf numFmtId="0" fontId="7" fillId="0" borderId="53" xfId="1" applyFont="1" applyBorder="1" applyAlignment="1">
      <alignment horizontal="center" vertical="center" wrapText="1"/>
    </xf>
    <xf numFmtId="169" fontId="7" fillId="0" borderId="52" xfId="1" applyNumberFormat="1" applyFont="1" applyBorder="1" applyAlignment="1">
      <alignment horizontal="center" vertical="center" wrapText="1"/>
    </xf>
    <xf numFmtId="169" fontId="7" fillId="0" borderId="47" xfId="1" applyNumberFormat="1" applyFont="1" applyBorder="1" applyAlignment="1">
      <alignment horizontal="center" vertical="center" wrapText="1"/>
    </xf>
    <xf numFmtId="169" fontId="7" fillId="0" borderId="53" xfId="1" applyNumberFormat="1" applyFont="1" applyBorder="1" applyAlignment="1">
      <alignment horizontal="center" vertical="center" wrapText="1"/>
    </xf>
    <xf numFmtId="10" fontId="7" fillId="0" borderId="52" xfId="1" applyNumberFormat="1" applyFont="1" applyBorder="1" applyAlignment="1">
      <alignment horizontal="center" vertical="center" wrapText="1"/>
    </xf>
    <xf numFmtId="10" fontId="7" fillId="0" borderId="47" xfId="1" applyNumberFormat="1" applyFont="1" applyBorder="1" applyAlignment="1">
      <alignment horizontal="center" vertical="center" wrapText="1"/>
    </xf>
    <xf numFmtId="10" fontId="7" fillId="0" borderId="53" xfId="1" applyNumberFormat="1" applyFont="1" applyBorder="1" applyAlignment="1">
      <alignment horizontal="center" vertical="center" wrapText="1"/>
    </xf>
    <xf numFmtId="0" fontId="7" fillId="0" borderId="40" xfId="1" applyFont="1" applyBorder="1" applyAlignment="1">
      <alignment horizontal="center" vertical="center" wrapText="1"/>
    </xf>
    <xf numFmtId="0" fontId="6" fillId="0" borderId="45" xfId="1" applyFont="1" applyBorder="1"/>
    <xf numFmtId="0" fontId="6" fillId="0" borderId="48" xfId="1" applyFont="1" applyBorder="1"/>
    <xf numFmtId="0" fontId="7" fillId="0" borderId="41" xfId="1" applyFont="1" applyBorder="1" applyAlignment="1">
      <alignment horizontal="center" vertical="center" wrapText="1"/>
    </xf>
    <xf numFmtId="0" fontId="6" fillId="0" borderId="49" xfId="1" applyFont="1" applyBorder="1"/>
    <xf numFmtId="169" fontId="7" fillId="0" borderId="41" xfId="1" applyNumberFormat="1" applyFont="1" applyBorder="1" applyAlignment="1">
      <alignment horizontal="center" vertical="center" wrapText="1"/>
    </xf>
    <xf numFmtId="10" fontId="7" fillId="0" borderId="41" xfId="1" applyNumberFormat="1" applyFont="1" applyBorder="1" applyAlignment="1">
      <alignment horizontal="center" vertical="center" wrapText="1"/>
    </xf>
    <xf numFmtId="0" fontId="6" fillId="0" borderId="0" xfId="1" applyFont="1"/>
    <xf numFmtId="169" fontId="4" fillId="0" borderId="36" xfId="1" applyNumberFormat="1" applyFont="1" applyBorder="1" applyAlignment="1">
      <alignment horizontal="center" vertical="center"/>
    </xf>
    <xf numFmtId="15" fontId="7" fillId="0" borderId="36" xfId="1" applyNumberFormat="1" applyFont="1" applyBorder="1" applyAlignment="1">
      <alignment horizontal="center" vertical="center" wrapText="1"/>
    </xf>
    <xf numFmtId="170" fontId="4" fillId="0" borderId="3" xfId="1" applyNumberFormat="1" applyFont="1" applyBorder="1" applyAlignment="1">
      <alignment horizontal="center" vertical="center"/>
    </xf>
    <xf numFmtId="0" fontId="7" fillId="0" borderId="3" xfId="1" applyFont="1" applyBorder="1" applyAlignment="1">
      <alignment horizontal="center" vertical="center"/>
    </xf>
    <xf numFmtId="9" fontId="7" fillId="0" borderId="3" xfId="1" applyNumberFormat="1" applyFont="1" applyBorder="1" applyAlignment="1">
      <alignment horizontal="center" vertical="center"/>
    </xf>
    <xf numFmtId="0" fontId="4" fillId="0" borderId="40" xfId="1" applyFont="1" applyBorder="1" applyAlignment="1">
      <alignment horizontal="center" vertical="center" wrapText="1"/>
    </xf>
    <xf numFmtId="0" fontId="4" fillId="0" borderId="61" xfId="1" applyFont="1" applyBorder="1" applyAlignment="1">
      <alignment horizontal="center" vertical="center" wrapText="1"/>
    </xf>
    <xf numFmtId="0" fontId="6" fillId="0" borderId="50" xfId="1" applyFont="1" applyBorder="1"/>
    <xf numFmtId="169" fontId="4" fillId="0" borderId="41" xfId="1" applyNumberFormat="1" applyFont="1" applyBorder="1" applyAlignment="1">
      <alignment horizontal="center" vertical="center"/>
    </xf>
    <xf numFmtId="10" fontId="7" fillId="0" borderId="61" xfId="1" applyNumberFormat="1" applyFont="1" applyBorder="1" applyAlignment="1">
      <alignment horizontal="center" vertical="center"/>
    </xf>
    <xf numFmtId="171" fontId="4" fillId="0" borderId="41" xfId="1" applyNumberFormat="1" applyFont="1" applyBorder="1" applyAlignment="1">
      <alignment horizontal="center" vertical="center"/>
    </xf>
    <xf numFmtId="169" fontId="4" fillId="0" borderId="37" xfId="1" applyNumberFormat="1" applyFont="1" applyBorder="1" applyAlignment="1">
      <alignment horizontal="center" vertical="center"/>
    </xf>
    <xf numFmtId="172" fontId="4" fillId="0" borderId="21" xfId="1" applyNumberFormat="1" applyFont="1" applyBorder="1" applyAlignment="1">
      <alignment horizontal="center" vertical="center" wrapText="1"/>
    </xf>
    <xf numFmtId="173" fontId="4" fillId="0" borderId="21" xfId="1" applyNumberFormat="1" applyFont="1" applyBorder="1" applyAlignment="1">
      <alignment horizontal="center" vertical="center" wrapText="1"/>
    </xf>
    <xf numFmtId="0" fontId="4" fillId="0" borderId="64" xfId="1" applyFont="1" applyBorder="1" applyAlignment="1">
      <alignment horizontal="center" vertical="center" wrapText="1"/>
    </xf>
    <xf numFmtId="0" fontId="6" fillId="0" borderId="67" xfId="1" applyFont="1" applyBorder="1"/>
    <xf numFmtId="0" fontId="6" fillId="0" borderId="70" xfId="1" applyFont="1" applyBorder="1"/>
    <xf numFmtId="0" fontId="4" fillId="0" borderId="65" xfId="1" applyFont="1" applyBorder="1" applyAlignment="1">
      <alignment horizontal="center" vertical="center" wrapText="1"/>
    </xf>
    <xf numFmtId="0" fontId="6" fillId="0" borderId="47" xfId="1" applyFont="1" applyBorder="1"/>
    <xf numFmtId="0" fontId="6" fillId="0" borderId="71" xfId="1" applyFont="1" applyBorder="1"/>
    <xf numFmtId="169" fontId="4" fillId="0" borderId="65" xfId="1" applyNumberFormat="1" applyFont="1" applyBorder="1" applyAlignment="1">
      <alignment horizontal="center" vertical="center"/>
    </xf>
    <xf numFmtId="10" fontId="7" fillId="0" borderId="65" xfId="1" applyNumberFormat="1" applyFont="1" applyBorder="1" applyAlignment="1">
      <alignment horizontal="center" vertical="center"/>
    </xf>
    <xf numFmtId="0" fontId="7" fillId="0" borderId="20" xfId="1" applyFont="1" applyBorder="1" applyAlignment="1">
      <alignment horizontal="center" vertical="center" wrapText="1"/>
    </xf>
    <xf numFmtId="0" fontId="7" fillId="0" borderId="37" xfId="1" applyFont="1" applyBorder="1" applyAlignment="1">
      <alignment horizontal="center" vertical="center" wrapText="1"/>
    </xf>
    <xf numFmtId="169" fontId="7" fillId="0" borderId="37" xfId="1" applyNumberFormat="1" applyFont="1" applyBorder="1" applyAlignment="1">
      <alignment horizontal="center" vertical="center" wrapText="1"/>
    </xf>
    <xf numFmtId="10" fontId="7" fillId="0" borderId="37" xfId="1" applyNumberFormat="1" applyFont="1" applyBorder="1" applyAlignment="1">
      <alignment horizontal="center" vertical="center" wrapText="1"/>
    </xf>
  </cellXfs>
  <cellStyles count="2">
    <cellStyle name="Normal" xfId="0" builtinId="0"/>
    <cellStyle name="Normal 10 2" xfId="1" xr:uid="{259D5356-B47F-4902-ACF1-622FAAEAC28F}"/>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9</xdr:col>
      <xdr:colOff>923925</xdr:colOff>
      <xdr:row>6</xdr:row>
      <xdr:rowOff>0</xdr:rowOff>
    </xdr:from>
    <xdr:ext cx="1352550" cy="647700"/>
    <xdr:pic>
      <xdr:nvPicPr>
        <xdr:cNvPr id="2" name="image1.jpg" title="Imagen">
          <a:extLst>
            <a:ext uri="{FF2B5EF4-FFF2-40B4-BE49-F238E27FC236}">
              <a16:creationId xmlns:a16="http://schemas.microsoft.com/office/drawing/2014/main" id="{BC488B78-46F9-4103-914F-70843A3A6926}"/>
            </a:ext>
          </a:extLst>
        </xdr:cNvPr>
        <xdr:cNvPicPr preferRelativeResize="0"/>
      </xdr:nvPicPr>
      <xdr:blipFill>
        <a:blip xmlns:r="http://schemas.openxmlformats.org/officeDocument/2006/relationships" r:embed="rId1" cstate="print"/>
        <a:stretch>
          <a:fillRect/>
        </a:stretch>
      </xdr:blipFill>
      <xdr:spPr>
        <a:xfrm>
          <a:off x="14706600" y="0"/>
          <a:ext cx="1352550" cy="64770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Usuario\OneDrive\Desktop\matriz%20202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uario\Desktop\Seguimiento%20de%20Mantenimiento%20-%20Macros%20Consolidada.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idrdcol-my.sharepoint.com/personal/katherin_baquero_idrd_gov_co/Documents/CUADROS%20RESUMEN%20CONTRATOS/2024/CUADRO%20RESUMEN%20MANTENIMIENTO%20PARQUES%20POR%20CONTRATOS%202024%20-%20INVERSI&#211;N%20DICIEMBRE.xlsx" TargetMode="External"/><Relationship Id="rId1" Type="http://schemas.openxmlformats.org/officeDocument/2006/relationships/externalLinkPath" Target="CUADRO%20RESUMEN%20MANTENIMIENTO%20PARQUES%20POR%20CONTRATOS%202024%20-%20INVERSI&#211;N%20DICIEMBR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uario/Desktop/IDRD/informes%20de%20pagos%20contrato%200049%20del%202023/Matrices/Seguimiento%20de%20Mantenimiento%20-%20Macros%20Consolidada%20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matriz 202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LISTA"/>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efreshError="1"/>
      <sheetData sheetId="1">
        <row r="25">
          <cell r="G25" t="str">
            <v>AMBULANCIA</v>
          </cell>
        </row>
        <row r="26">
          <cell r="G26" t="str">
            <v>CONTRATO DE MANTENIMIENTO</v>
          </cell>
        </row>
        <row r="27">
          <cell r="G27" t="str">
            <v>CONTRATO DE INFRAESTRUCTURA</v>
          </cell>
        </row>
        <row r="28">
          <cell r="G28" t="str">
            <v>AGUAS DE BOGOTA</v>
          </cell>
        </row>
        <row r="29">
          <cell r="G29" t="str">
            <v>CONTRATO DE GRANDES ESCENARIOS</v>
          </cell>
        </row>
        <row r="30">
          <cell r="G30" t="str">
            <v>CONTRATO NUEVO</v>
          </cell>
        </row>
        <row r="31">
          <cell r="G31" t="str">
            <v>ESTABILIDAD</v>
          </cell>
        </row>
        <row r="32">
          <cell r="G32" t="str">
            <v>CONTRATO DE PISCINAS</v>
          </cell>
        </row>
        <row r="33">
          <cell r="G33" t="str">
            <v>CONTRATO DE ASEO</v>
          </cell>
        </row>
        <row r="34">
          <cell r="G34" t="str">
            <v>CONTRATO NUEVO MANTENIMIENTO</v>
          </cell>
        </row>
        <row r="35">
          <cell r="G35" t="str">
            <v>CONTRATO DE MOTOBOMBAS</v>
          </cell>
        </row>
        <row r="36">
          <cell r="G36" t="str">
            <v xml:space="preserve">ANDRES BAQUERO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TTO Y OBRA"/>
      <sheetName val="TOTAL PARQUES"/>
      <sheetName val="DATOS"/>
    </sheetNames>
    <sheetDataSet>
      <sheetData sheetId="0"/>
      <sheetData sheetId="1"/>
      <sheetData sheetId="2">
        <row r="4">
          <cell r="B4" t="str">
            <v>LA VIDA</v>
          </cell>
        </row>
        <row r="5">
          <cell r="B5" t="str">
            <v>SERVITA</v>
          </cell>
        </row>
        <row r="6">
          <cell r="B6" t="str">
            <v>NUEVA AUTOPISTA</v>
          </cell>
        </row>
        <row r="7">
          <cell r="B7" t="str">
            <v>ALTA BLANCA</v>
          </cell>
        </row>
        <row r="8">
          <cell r="B8" t="str">
            <v>EL COUNTRY</v>
          </cell>
        </row>
        <row r="9">
          <cell r="B9" t="str">
            <v>CEDRITOS</v>
          </cell>
        </row>
        <row r="10">
          <cell r="B10" t="str">
            <v>TOBERIN</v>
          </cell>
        </row>
        <row r="11">
          <cell r="B11" t="str">
            <v>DESARROLLO VERBENAL II</v>
          </cell>
        </row>
        <row r="12">
          <cell r="B12" t="str">
            <v>URBANIZACION LOS MOLINOS</v>
          </cell>
        </row>
        <row r="13">
          <cell r="B13" t="str">
            <v>ESTRELLA NORTE</v>
          </cell>
        </row>
        <row r="14">
          <cell r="B14" t="str">
            <v>VERBENAL</v>
          </cell>
        </row>
        <row r="15">
          <cell r="B15" t="str">
            <v>URB. CALLE 170 / ALAMEDA</v>
          </cell>
        </row>
        <row r="16">
          <cell r="B16" t="str">
            <v>GUSTAVO URIBE</v>
          </cell>
        </row>
        <row r="17">
          <cell r="B17" t="str">
            <v>CANAL EL VIRREY - EL CHICO</v>
          </cell>
        </row>
        <row r="18">
          <cell r="B18" t="str">
            <v>SUCRE O HIPPIES</v>
          </cell>
        </row>
        <row r="19">
          <cell r="B19" t="str">
            <v>LA CABRERA (JAPON)</v>
          </cell>
        </row>
        <row r="20">
          <cell r="B20" t="str">
            <v>LOS LACHES LA MINA</v>
          </cell>
        </row>
        <row r="21">
          <cell r="B21" t="str">
            <v>PARQUE NACIONAL ENRIQUE OLAYA</v>
          </cell>
        </row>
        <row r="22">
          <cell r="B22" t="str">
            <v>LAS CRUCES</v>
          </cell>
        </row>
        <row r="23">
          <cell r="B23" t="str">
            <v>INDEPENDENCIA BICENTENARIO</v>
          </cell>
        </row>
        <row r="24">
          <cell r="B24" t="str">
            <v>SENDERO A MONSERRATE</v>
          </cell>
        </row>
        <row r="25">
          <cell r="B25" t="str">
            <v>TERCER MILENIO</v>
          </cell>
        </row>
        <row r="26">
          <cell r="B26" t="str">
            <v>PLAZA DE TOROS</v>
          </cell>
        </row>
        <row r="27">
          <cell r="B27" t="str">
            <v>DESARROLLO LOURDES</v>
          </cell>
        </row>
        <row r="28">
          <cell r="B28" t="str">
            <v>DESARROLLO LOS LACHES</v>
          </cell>
        </row>
        <row r="29">
          <cell r="B29" t="str">
            <v>DESARROLLO LOURDES III</v>
          </cell>
        </row>
        <row r="30">
          <cell r="B30"/>
        </row>
        <row r="31">
          <cell r="B31"/>
        </row>
        <row r="32">
          <cell r="B32" t="str">
            <v>SANTANDER</v>
          </cell>
        </row>
        <row r="33">
          <cell r="B33"/>
        </row>
        <row r="34">
          <cell r="B34" t="str">
            <v>MORALBA</v>
          </cell>
        </row>
        <row r="35">
          <cell r="B35" t="str">
            <v>VILLA DE LOS ALPES</v>
          </cell>
        </row>
        <row r="36">
          <cell r="B36" t="str">
            <v>GAITAN CORTES</v>
          </cell>
        </row>
        <row r="37">
          <cell r="B37" t="str">
            <v>LA VICTORIA</v>
          </cell>
        </row>
        <row r="38">
          <cell r="B38" t="str">
            <v>CEFE SAN CRISTOBAL</v>
          </cell>
        </row>
        <row r="39">
          <cell r="B39" t="str">
            <v>SAN CRISTOBAL</v>
          </cell>
        </row>
        <row r="40">
          <cell r="B40" t="str">
            <v>DEPORTIVO PRIMERO DE MAYO</v>
          </cell>
        </row>
        <row r="41">
          <cell r="B41" t="str">
            <v>URB. ANTIOQUIA</v>
          </cell>
        </row>
        <row r="42">
          <cell r="B42" t="str">
            <v>LA AURORA II</v>
          </cell>
        </row>
        <row r="43">
          <cell r="B43" t="str">
            <v>VALLES DE CAFAM</v>
          </cell>
        </row>
        <row r="44">
          <cell r="B44" t="str">
            <v>LA ANDREA</v>
          </cell>
        </row>
        <row r="45">
          <cell r="B45" t="str">
            <v>EL VIRREY SUR</v>
          </cell>
        </row>
        <row r="46">
          <cell r="B46" t="str">
            <v>FAMACO</v>
          </cell>
        </row>
        <row r="47">
          <cell r="B47" t="str">
            <v>VILLA ALEMANA</v>
          </cell>
        </row>
        <row r="48">
          <cell r="B48" t="str">
            <v>SAN CAYETANO</v>
          </cell>
        </row>
        <row r="49">
          <cell r="B49" t="str">
            <v>MIRAVALLE</v>
          </cell>
        </row>
        <row r="50">
          <cell r="B50" t="str">
            <v>ALFONSO LOPEZ</v>
          </cell>
        </row>
        <row r="51">
          <cell r="B51" t="str">
            <v>NUEVO USME</v>
          </cell>
        </row>
        <row r="52">
          <cell r="B52" t="str">
            <v>NUEVO MILENIO</v>
          </cell>
        </row>
        <row r="53">
          <cell r="B53" t="str">
            <v>NUEVO MUZU</v>
          </cell>
        </row>
        <row r="54">
          <cell r="B54" t="str">
            <v>CEFE TUNAL</v>
          </cell>
        </row>
        <row r="55">
          <cell r="B55" t="str">
            <v>EL TUNAL</v>
          </cell>
        </row>
        <row r="56">
          <cell r="B56" t="str">
            <v>LAGUNETA</v>
          </cell>
        </row>
        <row r="57">
          <cell r="B57" t="str">
            <v>URB. TUNJUELITO</v>
          </cell>
        </row>
        <row r="58">
          <cell r="B58" t="str">
            <v>URB. LA LAGUNA (VENECIA)</v>
          </cell>
        </row>
        <row r="59">
          <cell r="B59" t="str">
            <v>PMR EL REDENTOR</v>
          </cell>
        </row>
        <row r="60">
          <cell r="B60" t="str">
            <v>LAURELES NARANJOS</v>
          </cell>
        </row>
        <row r="61">
          <cell r="B61" t="str">
            <v>TIMIZA SECTOR VILLA DEL RIO</v>
          </cell>
        </row>
        <row r="62">
          <cell r="B62" t="str">
            <v>AUTOPISTA SUR (PAVCO)</v>
          </cell>
        </row>
        <row r="63">
          <cell r="B63" t="str">
            <v>CLARELANDIA</v>
          </cell>
        </row>
        <row r="64">
          <cell r="B64" t="str">
            <v>PARQUE DEL RIO MARYLAND</v>
          </cell>
        </row>
        <row r="65">
          <cell r="B65" t="str">
            <v>PALESTINA</v>
          </cell>
        </row>
        <row r="66">
          <cell r="B66" t="str">
            <v>EL RECREO</v>
          </cell>
        </row>
        <row r="67">
          <cell r="B67" t="str">
            <v>LA ESPERANZA</v>
          </cell>
        </row>
        <row r="68">
          <cell r="B68" t="str">
            <v>TIBANICA</v>
          </cell>
        </row>
        <row r="69">
          <cell r="B69" t="str">
            <v>PORVENIR</v>
          </cell>
        </row>
        <row r="70">
          <cell r="B70" t="str">
            <v>URB. CHICALA</v>
          </cell>
        </row>
        <row r="71">
          <cell r="B71" t="str">
            <v>SANTIAGO DE ATALAYA</v>
          </cell>
        </row>
        <row r="72">
          <cell r="B72" t="str">
            <v>PORTAL DEL SOL</v>
          </cell>
        </row>
        <row r="73">
          <cell r="B73" t="str">
            <v>CIUDADELA CAMPO VERDE</v>
          </cell>
        </row>
        <row r="74">
          <cell r="B74" t="str">
            <v>PATIO BONITO</v>
          </cell>
        </row>
        <row r="75">
          <cell r="B75" t="str">
            <v>MARSELLA</v>
          </cell>
        </row>
        <row r="76">
          <cell r="B76" t="str">
            <v>BIBLIOTECA EL TINTAL</v>
          </cell>
        </row>
        <row r="77">
          <cell r="B77" t="str">
            <v>EL PORVENIR (GIBRALTAR)</v>
          </cell>
        </row>
        <row r="78">
          <cell r="B78" t="str">
            <v>BELLAVISTA - DINDALITO</v>
          </cell>
        </row>
        <row r="79">
          <cell r="B79" t="str">
            <v>CASTILLA</v>
          </cell>
        </row>
        <row r="80">
          <cell r="B80" t="str">
            <v>LA IGUALDAD</v>
          </cell>
        </row>
        <row r="81">
          <cell r="B81" t="str">
            <v>TIMIZA</v>
          </cell>
        </row>
        <row r="82">
          <cell r="B82" t="str">
            <v>CAYETANO CAÑIZARES</v>
          </cell>
        </row>
        <row r="83">
          <cell r="B83" t="str">
            <v>LA AMISTAD</v>
          </cell>
        </row>
        <row r="84">
          <cell r="B84" t="str">
            <v>GILMA GIMENEZ (LAS MARGARITAS)</v>
          </cell>
        </row>
        <row r="85">
          <cell r="B85" t="str">
            <v>ESTADIO DE TECHO</v>
          </cell>
        </row>
        <row r="86">
          <cell r="B86" t="str">
            <v>SAN IGNACIO</v>
          </cell>
        </row>
        <row r="87">
          <cell r="B87" t="str">
            <v>CARVAJAL</v>
          </cell>
        </row>
        <row r="88">
          <cell r="B88" t="str">
            <v>VILLA ALSACIA</v>
          </cell>
        </row>
        <row r="89">
          <cell r="B89" t="str">
            <v>AMERICAS OCCIDENTAL</v>
          </cell>
        </row>
        <row r="90">
          <cell r="B90" t="str">
            <v>VILLA DE LOS SAUCES</v>
          </cell>
        </row>
        <row r="91">
          <cell r="B91" t="str">
            <v>LAS LUCES Y VILLA RICA</v>
          </cell>
        </row>
        <row r="92">
          <cell r="B92" t="str">
            <v>LA ALEJANDRA</v>
          </cell>
        </row>
        <row r="93">
          <cell r="B93" t="str">
            <v>LAGO TIMIZA I ETAPA</v>
          </cell>
        </row>
        <row r="94">
          <cell r="B94" t="str">
            <v>VILLA SAUCES</v>
          </cell>
        </row>
        <row r="95">
          <cell r="B95" t="str">
            <v>PRIMAVERA</v>
          </cell>
        </row>
        <row r="96">
          <cell r="B96" t="str">
            <v>MUNDO AVENTURA (AMERICAS)</v>
          </cell>
        </row>
        <row r="97">
          <cell r="B97" t="str">
            <v>CARMEN DE LA LAGUNA</v>
          </cell>
        </row>
        <row r="98">
          <cell r="B98" t="str">
            <v>CANAL BOYACA</v>
          </cell>
        </row>
        <row r="99">
          <cell r="B99" t="str">
            <v>ATAHUALPA</v>
          </cell>
        </row>
        <row r="100">
          <cell r="B100" t="str">
            <v>SAUZALITO</v>
          </cell>
        </row>
        <row r="101">
          <cell r="B101" t="str">
            <v>ZONA FRANCA</v>
          </cell>
        </row>
        <row r="102">
          <cell r="B102" t="str">
            <v>MODELIA</v>
          </cell>
        </row>
        <row r="103">
          <cell r="B103" t="str">
            <v>VILLA HELENA VILLEMAR</v>
          </cell>
        </row>
        <row r="104">
          <cell r="B104" t="str">
            <v>CARLOS LLERAS (EL FUEGO)</v>
          </cell>
        </row>
        <row r="105">
          <cell r="B105" t="str">
            <v>URB. CIUDAD HAYUELOS</v>
          </cell>
        </row>
        <row r="106">
          <cell r="B106" t="str">
            <v>EL CAJON</v>
          </cell>
        </row>
        <row r="107">
          <cell r="B107" t="str">
            <v>VILLA LUZ</v>
          </cell>
        </row>
        <row r="108">
          <cell r="B108" t="str">
            <v>VILLAS DE GRANADA</v>
          </cell>
        </row>
        <row r="109">
          <cell r="B109" t="str">
            <v>EL CARMELO</v>
          </cell>
        </row>
        <row r="110">
          <cell r="B110" t="str">
            <v>JUAN AMARILLO</v>
          </cell>
        </row>
        <row r="111">
          <cell r="B111" t="str">
            <v>TABORA</v>
          </cell>
        </row>
        <row r="112">
          <cell r="B112" t="str">
            <v>BONANZA</v>
          </cell>
        </row>
        <row r="113">
          <cell r="B113" t="str">
            <v>LA SERENA</v>
          </cell>
        </row>
        <row r="114">
          <cell r="B114" t="str">
            <v>SAN ANDRES</v>
          </cell>
        </row>
        <row r="115">
          <cell r="B115" t="str">
            <v>UNIDAD DEPORTIVA EL SALITRE SIMON BOLIVAR</v>
          </cell>
        </row>
        <row r="116">
          <cell r="B116" t="str">
            <v>LA FLORIDA</v>
          </cell>
        </row>
        <row r="117">
          <cell r="B117" t="str">
            <v>PTAR SALITRE</v>
          </cell>
        </row>
        <row r="118">
          <cell r="B118" t="str">
            <v>VILLAS DE MADRIGAL</v>
          </cell>
        </row>
        <row r="119">
          <cell r="B119" t="str">
            <v>FLORENCIA LOS TRONQUITOS</v>
          </cell>
        </row>
        <row r="120">
          <cell r="B120" t="str">
            <v>LA EUROPA</v>
          </cell>
        </row>
        <row r="121">
          <cell r="B121" t="str">
            <v>BACHUE</v>
          </cell>
        </row>
        <row r="122">
          <cell r="B122" t="str">
            <v>CIUDAD HONDA</v>
          </cell>
        </row>
        <row r="123">
          <cell r="B123" t="str">
            <v>NORMANDIA</v>
          </cell>
        </row>
        <row r="124">
          <cell r="B124" t="str">
            <v>FLORENCIA</v>
          </cell>
        </row>
        <row r="125">
          <cell r="B125" t="str">
            <v>LOS ANGELES</v>
          </cell>
        </row>
        <row r="126">
          <cell r="B126" t="str">
            <v>URB. GRANJAS DEL DORADO</v>
          </cell>
        </row>
        <row r="127">
          <cell r="B127" t="str">
            <v>CANAL CORDOBA</v>
          </cell>
        </row>
        <row r="128">
          <cell r="B128" t="str">
            <v>CASA BLANCA</v>
          </cell>
        </row>
        <row r="129">
          <cell r="B129" t="str">
            <v>SAN JOSE DE BAVARIA</v>
          </cell>
        </row>
        <row r="130">
          <cell r="B130" t="str">
            <v>CIUDADELA CAFAM II GAVILANES</v>
          </cell>
        </row>
        <row r="131">
          <cell r="B131" t="str">
            <v>MORATO</v>
          </cell>
        </row>
        <row r="132">
          <cell r="B132" t="str">
            <v>COMETAS</v>
          </cell>
        </row>
        <row r="133">
          <cell r="B133" t="str">
            <v>LA GAITANA</v>
          </cell>
        </row>
        <row r="134">
          <cell r="B134" t="str">
            <v>TIBABUYES</v>
          </cell>
        </row>
        <row r="135">
          <cell r="B135" t="str">
            <v>CEFE FONTANAR DEL RIO</v>
          </cell>
        </row>
        <row r="136">
          <cell r="B136" t="str">
            <v>FONTANAR DEL RIO</v>
          </cell>
        </row>
        <row r="137">
          <cell r="B137" t="str">
            <v>ATABANZA</v>
          </cell>
        </row>
        <row r="138">
          <cell r="B138" t="str">
            <v>CEFE COMETAS</v>
          </cell>
        </row>
        <row r="139">
          <cell r="B139" t="str">
            <v>CIUDADELA CAFAM</v>
          </cell>
        </row>
        <row r="140">
          <cell r="B140" t="str">
            <v>BERLIN</v>
          </cell>
        </row>
        <row r="141">
          <cell r="B141" t="str">
            <v>CANTALEJO</v>
          </cell>
        </row>
        <row r="142">
          <cell r="B142" t="str">
            <v>URB LOMBARDIA (1 ETAPA)</v>
          </cell>
        </row>
        <row r="143">
          <cell r="B143" t="str">
            <v>BURGOS BRITALIA</v>
          </cell>
        </row>
        <row r="144">
          <cell r="B144" t="str">
            <v>BILBAO</v>
          </cell>
        </row>
        <row r="145">
          <cell r="B145" t="str">
            <v>TIBABUYES 1 Y 2</v>
          </cell>
        </row>
        <row r="146">
          <cell r="B146" t="str">
            <v>PRADO PINZON</v>
          </cell>
        </row>
        <row r="147">
          <cell r="B147" t="str">
            <v>URB. MAZUREN I SECTOR</v>
          </cell>
        </row>
        <row r="148">
          <cell r="B148" t="str">
            <v>VICTORIA NORTE</v>
          </cell>
        </row>
        <row r="149">
          <cell r="B149" t="str">
            <v>LINDARAJA</v>
          </cell>
        </row>
        <row r="150">
          <cell r="B150" t="str">
            <v>VILANOVA</v>
          </cell>
        </row>
        <row r="151">
          <cell r="B151" t="str">
            <v>VALLE DE REFOUS</v>
          </cell>
        </row>
        <row r="152">
          <cell r="B152" t="str">
            <v>CANAL RIO NEGRO</v>
          </cell>
        </row>
        <row r="153">
          <cell r="B153" t="str">
            <v>ALCAZARES</v>
          </cell>
        </row>
        <row r="154">
          <cell r="B154" t="str">
            <v>GIMNASIO DEL NORTE</v>
          </cell>
        </row>
        <row r="155">
          <cell r="B155" t="str">
            <v>PRD EL SALITRE - UCAD</v>
          </cell>
        </row>
        <row r="156">
          <cell r="B156" t="str">
            <v>PARQUE DE LOS NOVIOS</v>
          </cell>
        </row>
        <row r="157">
          <cell r="B157" t="str">
            <v>LA ESTACION</v>
          </cell>
        </row>
        <row r="158">
          <cell r="B158" t="str">
            <v>COMPLEJO ACUATICO</v>
          </cell>
        </row>
        <row r="159">
          <cell r="B159" t="str">
            <v>PISTA DE BMX PRD</v>
          </cell>
        </row>
        <row r="160">
          <cell r="B160" t="str">
            <v>PALACIO DE LOS DEPORTES</v>
          </cell>
        </row>
        <row r="161">
          <cell r="B161" t="str">
            <v>PARQUE DE LOS NIÑOS</v>
          </cell>
        </row>
        <row r="162">
          <cell r="B162" t="str">
            <v>URB. METROPOLIS</v>
          </cell>
        </row>
        <row r="163">
          <cell r="B163" t="str">
            <v>PLAZA DE ARTESANOS</v>
          </cell>
        </row>
        <row r="164">
          <cell r="B164" t="str">
            <v>SEDE ADMINISTRATIVA IDRD</v>
          </cell>
        </row>
        <row r="165">
          <cell r="B165" t="str">
            <v>NICOLAS DE FEDERMAN 3</v>
          </cell>
        </row>
        <row r="166">
          <cell r="B166" t="str">
            <v>VIRGILIO BARCO</v>
          </cell>
        </row>
        <row r="167">
          <cell r="B167" t="str">
            <v>PARQUE CENTRAL SIMON BOLIVAR</v>
          </cell>
        </row>
        <row r="168">
          <cell r="B168" t="str">
            <v>ESTADIO NEMECIO CAMACHO EL CAMPIN</v>
          </cell>
        </row>
        <row r="169">
          <cell r="B169" t="str">
            <v>CLUB DISTRITAL DE TENIS</v>
          </cell>
        </row>
        <row r="170">
          <cell r="B170" t="str">
            <v>CLUB DE TENIS EL CAMPIN</v>
          </cell>
        </row>
        <row r="171">
          <cell r="B171" t="str">
            <v>EL CAMPINCITO - CEAD</v>
          </cell>
        </row>
        <row r="172">
          <cell r="B172" t="str">
            <v>PALACIO DEL COLESTEROL</v>
          </cell>
        </row>
        <row r="173">
          <cell r="B173" t="str">
            <v>SANTA CLARA</v>
          </cell>
        </row>
        <row r="174">
          <cell r="B174" t="str">
            <v>URB. SALITRE (GRECO)</v>
          </cell>
        </row>
        <row r="175">
          <cell r="B175" t="str">
            <v>ARENA MOVISTAR</v>
          </cell>
        </row>
        <row r="176">
          <cell r="B176" t="str">
            <v>LIGA DE TENNIS</v>
          </cell>
        </row>
        <row r="177">
          <cell r="B177" t="str">
            <v>SANTA ISABEL</v>
          </cell>
        </row>
        <row r="178">
          <cell r="B178" t="str">
            <v>EDUARDO SANTOS</v>
          </cell>
        </row>
        <row r="179">
          <cell r="B179" t="str">
            <v>EL RENACIMIENTO - PARQUE CEMENTERIO</v>
          </cell>
        </row>
        <row r="180">
          <cell r="B180" t="str">
            <v>RECONCILIACIÓN</v>
          </cell>
        </row>
        <row r="181">
          <cell r="B181" t="str">
            <v>PEPITA</v>
          </cell>
        </row>
        <row r="182">
          <cell r="B182" t="str">
            <v>CIUDAD JARDIN</v>
          </cell>
        </row>
        <row r="183">
          <cell r="B183" t="str">
            <v>LUNA PARK</v>
          </cell>
        </row>
        <row r="184">
          <cell r="B184" t="str">
            <v>VILLA MAYOR CEMENTERIO</v>
          </cell>
        </row>
        <row r="185">
          <cell r="B185" t="str">
            <v>LA FRAGUA</v>
          </cell>
        </row>
        <row r="186">
          <cell r="B186" t="str">
            <v>SANTA ISABEL LA FRAGUA</v>
          </cell>
        </row>
        <row r="187">
          <cell r="B187" t="str">
            <v>ALAMEDA DE LA 12</v>
          </cell>
        </row>
        <row r="188">
          <cell r="B188" t="str">
            <v>UNIDAD DEPORTIVA LA ALQUERIA</v>
          </cell>
        </row>
        <row r="189">
          <cell r="B189" t="str">
            <v>MILENTA TEJAR SAN EUSEBIO</v>
          </cell>
        </row>
        <row r="190">
          <cell r="B190" t="str">
            <v>CIUDAD MONTES</v>
          </cell>
        </row>
        <row r="191">
          <cell r="B191" t="str">
            <v>EL JAZMIN</v>
          </cell>
        </row>
        <row r="192">
          <cell r="B192" t="str">
            <v>VERAGUAS PREDIO</v>
          </cell>
        </row>
        <row r="193">
          <cell r="B193" t="str">
            <v>INDUSTRIAL LOS EJIDOS</v>
          </cell>
        </row>
        <row r="194">
          <cell r="B194" t="str">
            <v>CHAMPION PRIMAVERA</v>
          </cell>
        </row>
        <row r="195">
          <cell r="B195" t="str">
            <v>GORGONZOLA</v>
          </cell>
        </row>
        <row r="196">
          <cell r="B196" t="str">
            <v>PRADERA SUR</v>
          </cell>
        </row>
        <row r="197">
          <cell r="B197" t="str">
            <v>AGUA VIVA</v>
          </cell>
        </row>
        <row r="198">
          <cell r="B198" t="str">
            <v>PARQUE INDUSTRIAL (EL NECTAR)</v>
          </cell>
        </row>
        <row r="199">
          <cell r="B199" t="str">
            <v>BOCHICA</v>
          </cell>
        </row>
        <row r="200">
          <cell r="B200" t="str">
            <v>LA PRIMAVERA</v>
          </cell>
        </row>
        <row r="201">
          <cell r="B201" t="str">
            <v>LA CONCORDIA</v>
          </cell>
        </row>
        <row r="202">
          <cell r="B202" t="str">
            <v>LA CANDELARIA</v>
          </cell>
        </row>
        <row r="203">
          <cell r="B203" t="str">
            <v>LA CATEDRAL</v>
          </cell>
        </row>
        <row r="204">
          <cell r="B204" t="str">
            <v>BOSQUE DE SAN CARLOS</v>
          </cell>
        </row>
        <row r="205">
          <cell r="B205" t="str">
            <v>DIANA TURBAY</v>
          </cell>
        </row>
        <row r="206">
          <cell r="B206" t="str">
            <v>SANTA LUCIA</v>
          </cell>
        </row>
        <row r="207">
          <cell r="B207" t="str">
            <v>PIJAOS JORGE E.CABALIER</v>
          </cell>
        </row>
        <row r="208">
          <cell r="B208" t="str">
            <v>LOS MOLINOS II</v>
          </cell>
        </row>
        <row r="209">
          <cell r="B209" t="str">
            <v>QUIROGA</v>
          </cell>
        </row>
        <row r="210">
          <cell r="B210" t="str">
            <v>PARQUE ESTADIO OLAYA HERRERA</v>
          </cell>
        </row>
        <row r="211">
          <cell r="B211" t="str">
            <v>GIMNASIO DEL SUR</v>
          </cell>
        </row>
        <row r="212">
          <cell r="B212" t="str">
            <v>URB. GUSTAVO RESTREPO</v>
          </cell>
        </row>
        <row r="213">
          <cell r="B213" t="str">
            <v>PALERMO SUR</v>
          </cell>
        </row>
        <row r="214">
          <cell r="B214" t="str">
            <v>MARRUECOS</v>
          </cell>
        </row>
        <row r="215">
          <cell r="B215" t="str">
            <v>MOLINOS</v>
          </cell>
        </row>
        <row r="216">
          <cell r="B216" t="str">
            <v>SAN JOSE</v>
          </cell>
        </row>
        <row r="217">
          <cell r="B217" t="str">
            <v>HACIENDA LOS MOLINOS</v>
          </cell>
        </row>
        <row r="218">
          <cell r="B218" t="str">
            <v>ARBORIZADORA ALTA</v>
          </cell>
        </row>
        <row r="219">
          <cell r="B219" t="str">
            <v>CANDELARIA LA NUEVA</v>
          </cell>
        </row>
        <row r="220">
          <cell r="B220" t="str">
            <v>SIERRA MORENA</v>
          </cell>
        </row>
        <row r="221">
          <cell r="B221" t="str">
            <v>ARBORIZADORA ALTA METROPOLITANO</v>
          </cell>
        </row>
        <row r="222">
          <cell r="B222" t="str">
            <v>MEISSEN</v>
          </cell>
        </row>
        <row r="223">
          <cell r="B223" t="str">
            <v>LA ESTANCIA</v>
          </cell>
        </row>
        <row r="224">
          <cell r="B224" t="str">
            <v>ILLIMANI (PARAISO)</v>
          </cell>
        </row>
        <row r="225">
          <cell r="B225" t="str">
            <v>BUENA VISTA PORVENIR</v>
          </cell>
        </row>
        <row r="226">
          <cell r="B226" t="str">
            <v>EL TALLER</v>
          </cell>
        </row>
        <row r="227">
          <cell r="B227" t="str">
            <v>LA JOYA</v>
          </cell>
        </row>
        <row r="228">
          <cell r="B228" t="str">
            <v>ALTOS DE LA ESTANCIA</v>
          </cell>
        </row>
        <row r="229">
          <cell r="B229" t="str">
            <v>DOMINGO LAIN</v>
          </cell>
        </row>
        <row r="230">
          <cell r="B230" t="str">
            <v>LA CORUÑA</v>
          </cell>
        </row>
        <row r="231">
          <cell r="B231" t="str">
            <v>PARAISO</v>
          </cell>
        </row>
        <row r="232">
          <cell r="B232" t="str">
            <v>CARACOLI</v>
          </cell>
        </row>
        <row r="233">
          <cell r="B233" t="str">
            <v>MIRADOR DE ILLIMANI</v>
          </cell>
        </row>
        <row r="234">
          <cell r="B234" t="str">
            <v>BALMORA GUADALUPE</v>
          </cell>
        </row>
        <row r="235">
          <cell r="B235" t="str">
            <v>PREDIO LACHES LA MINA</v>
          </cell>
        </row>
        <row r="236">
          <cell r="B236" t="str">
            <v>LOTE SAN BERNARDO</v>
          </cell>
        </row>
        <row r="237">
          <cell r="B237" t="str">
            <v>ARCHIVO GENERAL IDRD</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ow r="3">
          <cell r="AA3" t="str">
            <v>ALCAZARES</v>
          </cell>
        </row>
        <row r="4">
          <cell r="AA4" t="str">
            <v>ALTA BLANCA</v>
          </cell>
        </row>
        <row r="5">
          <cell r="AA5" t="str">
            <v>ALTOS DE LA ESTANCIA</v>
          </cell>
        </row>
        <row r="6">
          <cell r="AA6" t="str">
            <v>ARBORIZADORA ALTA</v>
          </cell>
        </row>
        <row r="7">
          <cell r="AA7" t="str">
            <v>ARBORIZADORA ALTA ESTRUCTURANTE</v>
          </cell>
        </row>
        <row r="8">
          <cell r="AA8" t="str">
            <v>ATABANZA</v>
          </cell>
        </row>
        <row r="9">
          <cell r="AA9" t="str">
            <v>ATAHUALPA</v>
          </cell>
        </row>
        <row r="10">
          <cell r="AA10" t="str">
            <v>AUTOPISTA SUR (PAVCO)</v>
          </cell>
        </row>
        <row r="11">
          <cell r="AA11" t="str">
            <v>BELLAVISTA - DINDALITO</v>
          </cell>
        </row>
        <row r="12">
          <cell r="AA12" t="str">
            <v>BIBLIOTECA EL TINTAL</v>
          </cell>
        </row>
        <row r="13">
          <cell r="AA13" t="str">
            <v>BONANZA</v>
          </cell>
        </row>
        <row r="14">
          <cell r="AA14" t="str">
            <v>BOSQUE DE SAN CARLOS</v>
          </cell>
        </row>
        <row r="15">
          <cell r="AA15" t="str">
            <v>BUENA VISTA PORVENIR</v>
          </cell>
        </row>
        <row r="16">
          <cell r="AA16" t="str">
            <v>CANAL BOYACA</v>
          </cell>
        </row>
        <row r="17">
          <cell r="AA17" t="str">
            <v>CANAL CORDOBA</v>
          </cell>
        </row>
        <row r="18">
          <cell r="AA18" t="str">
            <v>CANAL EL VIRREY - EL CHICO</v>
          </cell>
        </row>
        <row r="19">
          <cell r="AA19" t="str">
            <v>CANAL RIO NEGRO</v>
          </cell>
        </row>
        <row r="20">
          <cell r="AA20" t="str">
            <v>CANDELARIA LA NUEVA</v>
          </cell>
        </row>
        <row r="21">
          <cell r="AA21" t="str">
            <v>CARMEN DE LA LAGUNA</v>
          </cell>
        </row>
        <row r="22">
          <cell r="AA22" t="str">
            <v>CASA BLANCA</v>
          </cell>
        </row>
        <row r="23">
          <cell r="AA23" t="str">
            <v>CASTILLA</v>
          </cell>
        </row>
        <row r="24">
          <cell r="AA24" t="str">
            <v>CAYETANO CAÑIZARES</v>
          </cell>
        </row>
        <row r="25">
          <cell r="AA25" t="str">
            <v>CEFE FONTANAR DEL RIO</v>
          </cell>
        </row>
        <row r="26">
          <cell r="AA26" t="str">
            <v>CEFE SAN CRISTOBAL</v>
          </cell>
        </row>
        <row r="27">
          <cell r="AA27" t="str">
            <v>CEFE TUNAL</v>
          </cell>
        </row>
        <row r="28">
          <cell r="AA28" t="str">
            <v>CIUDAD JARDIN</v>
          </cell>
        </row>
        <row r="29">
          <cell r="AA29" t="str">
            <v>CIUDAD MONTES</v>
          </cell>
        </row>
        <row r="30">
          <cell r="AA30" t="str">
            <v>CIUDADELA CAFAM II</v>
          </cell>
        </row>
        <row r="31">
          <cell r="AA31" t="str">
            <v>CLARELANDIA</v>
          </cell>
        </row>
        <row r="32">
          <cell r="AA32" t="str">
            <v>COMETAS</v>
          </cell>
        </row>
        <row r="33">
          <cell r="AA33" t="str">
            <v>COMPLEJO ACUATICO</v>
          </cell>
        </row>
        <row r="34">
          <cell r="AA34" t="str">
            <v>DEPORTIVO PRIMERO DE MAYO</v>
          </cell>
        </row>
        <row r="35">
          <cell r="AA35" t="str">
            <v>DIANA TURBAY</v>
          </cell>
        </row>
        <row r="36">
          <cell r="AA36" t="str">
            <v>EDUARDO SANTOS</v>
          </cell>
        </row>
        <row r="37">
          <cell r="AA37" t="str">
            <v>EL CAMPINCITO - CEAD</v>
          </cell>
        </row>
        <row r="38">
          <cell r="AA38" t="str">
            <v>EL CARMELO</v>
          </cell>
        </row>
        <row r="39">
          <cell r="AA39" t="str">
            <v>EL COUNTRY</v>
          </cell>
        </row>
        <row r="40">
          <cell r="AA40" t="str">
            <v>EL JAZMIN</v>
          </cell>
        </row>
        <row r="41">
          <cell r="AA41" t="str">
            <v>EL PORVENIR (GIBRALTAR)</v>
          </cell>
        </row>
        <row r="42">
          <cell r="AA42" t="str">
            <v>EL RECREO</v>
          </cell>
        </row>
        <row r="43">
          <cell r="AA43" t="str">
            <v>EL RENACIMIENTO - PARQUE CEMENTERIO CENTRAL</v>
          </cell>
        </row>
        <row r="44">
          <cell r="AA44" t="str">
            <v>EL TALLER</v>
          </cell>
        </row>
        <row r="45">
          <cell r="AA45" t="str">
            <v>EL TUNAL</v>
          </cell>
        </row>
        <row r="46">
          <cell r="AA46" t="str">
            <v>EL VIRREY SUR</v>
          </cell>
        </row>
        <row r="47">
          <cell r="AA47" t="str">
            <v>ESTADIO DE TECHO</v>
          </cell>
        </row>
        <row r="48">
          <cell r="AA48" t="str">
            <v>ESTADIO NEMECIO CAMACHO EL CAMPIN</v>
          </cell>
        </row>
        <row r="49">
          <cell r="AA49" t="str">
            <v>FAMACO</v>
          </cell>
        </row>
        <row r="50">
          <cell r="AA50" t="str">
            <v>FONTANAR DEL RIO</v>
          </cell>
        </row>
        <row r="51">
          <cell r="AA51" t="str">
            <v>GAITAN CORTES</v>
          </cell>
        </row>
        <row r="52">
          <cell r="AA52" t="str">
            <v>GILMA GIMENEZ (LAS MARGARITAS)</v>
          </cell>
        </row>
        <row r="53">
          <cell r="AA53" t="str">
            <v>GIMNASIO DEL NORTE</v>
          </cell>
        </row>
        <row r="54">
          <cell r="AA54" t="str">
            <v>GIMNASIO DEL SUR PARQUE ESTADIO OLAYA HERRERA</v>
          </cell>
        </row>
        <row r="55">
          <cell r="AA55" t="str">
            <v>GUSTAVO URIBE</v>
          </cell>
        </row>
        <row r="56">
          <cell r="AA56" t="str">
            <v>ILLIMANI (PARAISO)</v>
          </cell>
        </row>
        <row r="57">
          <cell r="AA57" t="str">
            <v>INDEPENDENCIA BICENTENARIO</v>
          </cell>
        </row>
        <row r="58">
          <cell r="AA58" t="str">
            <v>INDUSTRIAL LOS EJIDOS</v>
          </cell>
        </row>
        <row r="59">
          <cell r="AA59" t="str">
            <v>JUAN AMARILLO</v>
          </cell>
        </row>
        <row r="60">
          <cell r="AA60" t="str">
            <v>LA AMISTAD</v>
          </cell>
        </row>
        <row r="61">
          <cell r="AA61" t="str">
            <v>LA ANDREA</v>
          </cell>
        </row>
        <row r="62">
          <cell r="AA62" t="str">
            <v>LA AURORA II</v>
          </cell>
        </row>
        <row r="63">
          <cell r="AA63" t="str">
            <v>LA CONCORDIA</v>
          </cell>
        </row>
        <row r="64">
          <cell r="AA64" t="str">
            <v>LA ESTACION</v>
          </cell>
        </row>
        <row r="65">
          <cell r="AA65" t="str">
            <v>LA ESTANCIA</v>
          </cell>
        </row>
        <row r="66">
          <cell r="AA66" t="str">
            <v>LA FLORIDA</v>
          </cell>
        </row>
        <row r="67">
          <cell r="AA67" t="str">
            <v>LA FRAGUA</v>
          </cell>
        </row>
        <row r="68">
          <cell r="AA68" t="str">
            <v>LA GAITANA</v>
          </cell>
        </row>
        <row r="69">
          <cell r="AA69" t="str">
            <v>LA IGUALDAD</v>
          </cell>
        </row>
        <row r="70">
          <cell r="AA70" t="str">
            <v>LA JOYA</v>
          </cell>
        </row>
        <row r="71">
          <cell r="AA71" t="str">
            <v>LA SERENA</v>
          </cell>
        </row>
        <row r="72">
          <cell r="AA72" t="str">
            <v>LA VICTORIA</v>
          </cell>
        </row>
        <row r="73">
          <cell r="AA73" t="str">
            <v>LA VIDA</v>
          </cell>
        </row>
        <row r="74">
          <cell r="AA74" t="str">
            <v>LAS CRUCES</v>
          </cell>
        </row>
        <row r="75">
          <cell r="AA75" t="str">
            <v>LAURELES NARANJOS</v>
          </cell>
        </row>
        <row r="76">
          <cell r="AA76" t="str">
            <v>LOS LACHES LA MINA</v>
          </cell>
        </row>
        <row r="77">
          <cell r="AA77" t="str">
            <v>LOS MOLINOS II</v>
          </cell>
        </row>
        <row r="78">
          <cell r="AA78" t="str">
            <v>MARSELLA</v>
          </cell>
        </row>
        <row r="79">
          <cell r="AA79" t="str">
            <v>MEISSEN</v>
          </cell>
        </row>
        <row r="80">
          <cell r="AA80" t="str">
            <v>MILENTA TEJAR SAN EUSEBIO</v>
          </cell>
        </row>
        <row r="81">
          <cell r="AA81" t="str">
            <v>MORALBA</v>
          </cell>
        </row>
        <row r="82">
          <cell r="AA82" t="str">
            <v>MORATO</v>
          </cell>
        </row>
        <row r="83">
          <cell r="AA83" t="str">
            <v>NICOLAS DE FEDERMAN 3</v>
          </cell>
        </row>
        <row r="84">
          <cell r="AA84" t="str">
            <v>NUEVA AUTOPISTA</v>
          </cell>
        </row>
        <row r="85">
          <cell r="AA85" t="str">
            <v>NUEVO MUZU</v>
          </cell>
        </row>
        <row r="86">
          <cell r="AA86" t="str">
            <v>PALACIO DE LOS DEPORTES</v>
          </cell>
        </row>
        <row r="87">
          <cell r="AA87" t="str">
            <v>PALESTINA</v>
          </cell>
        </row>
        <row r="88">
          <cell r="AA88" t="str">
            <v>PARQUE CENTRAL SIMON BOLIVAR</v>
          </cell>
        </row>
        <row r="89">
          <cell r="AA89" t="str">
            <v>PARQUE DE LOS NIÑOS</v>
          </cell>
        </row>
        <row r="90">
          <cell r="AA90" t="str">
            <v>PARQUE DE LOS NOVIOS</v>
          </cell>
        </row>
        <row r="91">
          <cell r="AA91" t="str">
            <v xml:space="preserve">PARQUE DEL RIO MARYLAND URBANIZADOR </v>
          </cell>
        </row>
        <row r="92">
          <cell r="AA92" t="str">
            <v>PARQUE ESTADIO OLAYA HERRERA</v>
          </cell>
        </row>
        <row r="93">
          <cell r="AA93" t="str">
            <v>PARQUE NACIONAL ENRIQUE OLAYA</v>
          </cell>
        </row>
        <row r="94">
          <cell r="AA94" t="str">
            <v>PATIO BONITO</v>
          </cell>
        </row>
        <row r="95">
          <cell r="AA95" t="str">
            <v>PIJAOS JORGE E.CABALIER</v>
          </cell>
        </row>
        <row r="96">
          <cell r="AA96" t="str">
            <v>PISTA DE BMX PRD</v>
          </cell>
        </row>
        <row r="97">
          <cell r="AA97" t="str">
            <v>PLAZA DE LOS ARTESANOS</v>
          </cell>
        </row>
        <row r="98">
          <cell r="AA98" t="str">
            <v>PLAZA DE TOROS</v>
          </cell>
        </row>
        <row r="99">
          <cell r="AA99" t="str">
            <v>PORVENIR</v>
          </cell>
        </row>
        <row r="100">
          <cell r="AA100" t="str">
            <v>PRD EL SALITRE - UCAD</v>
          </cell>
        </row>
        <row r="101">
          <cell r="AA101" t="str">
            <v>PTAR SALITRE</v>
          </cell>
        </row>
        <row r="102">
          <cell r="AA102" t="str">
            <v>QUIROGA</v>
          </cell>
        </row>
        <row r="103">
          <cell r="AA103" t="str">
            <v>RECONCILIACIÓN</v>
          </cell>
        </row>
        <row r="104">
          <cell r="AA104" t="str">
            <v>SAN ANDRES</v>
          </cell>
        </row>
        <row r="105">
          <cell r="AA105" t="str">
            <v>SAN CAYETANO</v>
          </cell>
        </row>
        <row r="106">
          <cell r="AA106" t="str">
            <v>SAN CRISTOBAL</v>
          </cell>
        </row>
        <row r="107">
          <cell r="AA107" t="str">
            <v>SAN IGNACIO</v>
          </cell>
        </row>
        <row r="108">
          <cell r="AA108" t="str">
            <v>SAN JOSE DE BAVARIA</v>
          </cell>
        </row>
        <row r="109">
          <cell r="AA109" t="str">
            <v>SANTA ISABEL</v>
          </cell>
        </row>
        <row r="110">
          <cell r="AA110" t="str">
            <v>SANTA LUCIA</v>
          </cell>
        </row>
        <row r="111">
          <cell r="AA111" t="str">
            <v>SAUZALITO</v>
          </cell>
        </row>
        <row r="112">
          <cell r="AA112" t="str">
            <v>SENDERO A MONSERRATE</v>
          </cell>
        </row>
        <row r="113">
          <cell r="AA113" t="str">
            <v>SERVITA</v>
          </cell>
        </row>
        <row r="114">
          <cell r="AA114" t="str">
            <v>SIERRA MORENA</v>
          </cell>
        </row>
        <row r="115">
          <cell r="AA115" t="str">
            <v>SUCRE O HIPPIES</v>
          </cell>
        </row>
        <row r="116">
          <cell r="AA116" t="str">
            <v>TABORA</v>
          </cell>
        </row>
        <row r="117">
          <cell r="AA117" t="str">
            <v>TERCER MILENIO</v>
          </cell>
        </row>
        <row r="118">
          <cell r="AA118" t="str">
            <v>TIBABUYES</v>
          </cell>
        </row>
        <row r="119">
          <cell r="AA119" t="str">
            <v>TIBANICA</v>
          </cell>
        </row>
        <row r="120">
          <cell r="AA120" t="str">
            <v>TIMIZA</v>
          </cell>
        </row>
        <row r="121">
          <cell r="AA121" t="str">
            <v>TIMIZA SECTOR VILLA DEL RIO</v>
          </cell>
        </row>
        <row r="122">
          <cell r="AA122" t="str">
            <v>UNIDAD DEPORTIVA EL SALITRE SIMON BOLIVAR</v>
          </cell>
        </row>
        <row r="123">
          <cell r="AA123" t="str">
            <v>UNIDAD DEPORTIVA ESTADIO LA ALQUERIA</v>
          </cell>
        </row>
        <row r="124">
          <cell r="AA124" t="str">
            <v>URBANIZACION LA ESPERANZA</v>
          </cell>
        </row>
        <row r="125">
          <cell r="AA125" t="str">
            <v>VALLES DE CAFAM</v>
          </cell>
        </row>
        <row r="126">
          <cell r="AA126" t="str">
            <v>VERAGUAS</v>
          </cell>
        </row>
        <row r="127">
          <cell r="AA127" t="str">
            <v>VILLA ALEMANA</v>
          </cell>
        </row>
        <row r="128">
          <cell r="AA128" t="str">
            <v>VILLA DE LOS ALPES</v>
          </cell>
        </row>
        <row r="129">
          <cell r="AA129" t="str">
            <v>VILLA LUZ</v>
          </cell>
        </row>
        <row r="130">
          <cell r="AA130" t="str">
            <v>VILLA MAYOR CEMENTERIO</v>
          </cell>
        </row>
        <row r="131">
          <cell r="AA131" t="str">
            <v>VILLAS DE GRANADA</v>
          </cell>
        </row>
        <row r="132">
          <cell r="AA132" t="str">
            <v>VIRGILIO BARCO</v>
          </cell>
        </row>
        <row r="133">
          <cell r="AA133" t="str">
            <v>ZONA FRANCA</v>
          </cell>
        </row>
        <row r="134">
          <cell r="AA134" t="str">
            <v>LUNA PARK</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9A3DD-2EDE-4515-8A71-652D1A68F66E}">
  <sheetPr>
    <outlinePr summaryBelow="0" summaryRight="0"/>
  </sheetPr>
  <dimension ref="A1:L1692"/>
  <sheetViews>
    <sheetView tabSelected="1" topLeftCell="C1" zoomScale="85" zoomScaleNormal="85" workbookViewId="0">
      <pane ySplit="9" topLeftCell="A512" activePane="bottomLeft" state="frozen"/>
      <selection activeCell="A379" sqref="A379:F732"/>
      <selection pane="bottomLeft" activeCell="G513" sqref="G513:K513"/>
    </sheetView>
  </sheetViews>
  <sheetFormatPr baseColWidth="10" defaultColWidth="14.42578125" defaultRowHeight="15" customHeight="1"/>
  <cols>
    <col min="1" max="1" width="23.7109375" style="9" customWidth="1"/>
    <col min="2" max="2" width="31" style="9" customWidth="1"/>
    <col min="3" max="3" width="40" style="9" customWidth="1"/>
    <col min="4" max="4" width="13.85546875" style="9" customWidth="1"/>
    <col min="5" max="5" width="15.28515625" style="9" customWidth="1"/>
    <col min="6" max="6" width="13.42578125" style="9" customWidth="1"/>
    <col min="7" max="7" width="10.85546875" style="9" customWidth="1"/>
    <col min="8" max="8" width="21.28515625" style="9" customWidth="1"/>
    <col min="9" max="9" width="37.28515625" style="9" customWidth="1"/>
    <col min="10" max="10" width="43.85546875" style="183" customWidth="1"/>
    <col min="11" max="11" width="23.28515625" style="9" customWidth="1"/>
    <col min="12" max="12" width="23" style="9" hidden="1" customWidth="1"/>
    <col min="13" max="16384" width="14.42578125" style="9"/>
  </cols>
  <sheetData>
    <row r="1" spans="1:12" ht="11.25" hidden="1" customHeight="1">
      <c r="A1" s="185" t="s">
        <v>0</v>
      </c>
      <c r="B1" s="1"/>
      <c r="C1" s="2"/>
      <c r="D1" s="3"/>
      <c r="E1" s="3"/>
      <c r="F1" s="4"/>
      <c r="G1" s="5"/>
      <c r="H1" s="5"/>
      <c r="I1" s="6"/>
      <c r="J1" s="5"/>
      <c r="K1" s="7"/>
      <c r="L1" s="8">
        <v>813875002</v>
      </c>
    </row>
    <row r="2" spans="1:12" ht="11.25" hidden="1" customHeight="1">
      <c r="A2" s="186"/>
      <c r="B2" s="10"/>
      <c r="C2" s="10"/>
      <c r="D2" s="10"/>
      <c r="E2" s="10"/>
      <c r="F2" s="10"/>
      <c r="G2" s="10"/>
      <c r="H2" s="10"/>
      <c r="I2" s="10"/>
      <c r="J2" s="2"/>
      <c r="K2" s="7"/>
      <c r="L2" s="11"/>
    </row>
    <row r="3" spans="1:12" ht="11.25" hidden="1" customHeight="1">
      <c r="A3" s="187" t="s">
        <v>1</v>
      </c>
      <c r="B3" s="188"/>
      <c r="C3" s="188"/>
      <c r="D3" s="188"/>
      <c r="E3" s="188"/>
      <c r="F3" s="188"/>
      <c r="G3" s="188"/>
      <c r="H3" s="188"/>
      <c r="I3" s="188"/>
      <c r="J3" s="188"/>
      <c r="K3" s="7"/>
      <c r="L3" s="11"/>
    </row>
    <row r="4" spans="1:12" ht="11.25" hidden="1" customHeight="1">
      <c r="A4" s="189" t="s">
        <v>2</v>
      </c>
      <c r="B4" s="188"/>
      <c r="C4" s="188"/>
      <c r="D4" s="188"/>
      <c r="E4" s="188"/>
      <c r="F4" s="188"/>
      <c r="G4" s="188"/>
      <c r="H4" s="188"/>
      <c r="I4" s="188"/>
      <c r="J4" s="188"/>
      <c r="K4" s="7"/>
      <c r="L4" s="11"/>
    </row>
    <row r="5" spans="1:12" ht="11.25" hidden="1" customHeight="1">
      <c r="A5" s="187" t="s">
        <v>3</v>
      </c>
      <c r="B5" s="188"/>
      <c r="C5" s="188"/>
      <c r="D5" s="188"/>
      <c r="E5" s="188"/>
      <c r="F5" s="188"/>
      <c r="G5" s="188"/>
      <c r="H5" s="188"/>
      <c r="I5" s="188"/>
      <c r="J5" s="188"/>
      <c r="K5" s="7"/>
      <c r="L5" s="11"/>
    </row>
    <row r="6" spans="1:12" ht="11.25" hidden="1" customHeight="1">
      <c r="A6" s="12"/>
      <c r="B6" s="12"/>
      <c r="C6" s="12"/>
      <c r="D6" s="13"/>
      <c r="E6" s="13"/>
      <c r="F6" s="14"/>
      <c r="G6" s="15"/>
      <c r="H6" s="15"/>
      <c r="I6" s="16"/>
      <c r="J6" s="15"/>
      <c r="K6" s="7"/>
      <c r="L6" s="11"/>
    </row>
    <row r="7" spans="1:12" ht="27.75" customHeight="1">
      <c r="A7" s="190" t="s">
        <v>4</v>
      </c>
      <c r="B7" s="190" t="s">
        <v>5</v>
      </c>
      <c r="C7" s="192" t="s">
        <v>6</v>
      </c>
      <c r="D7" s="193" t="s">
        <v>7</v>
      </c>
      <c r="E7" s="193" t="s">
        <v>8</v>
      </c>
      <c r="F7" s="194" t="s">
        <v>9</v>
      </c>
      <c r="G7" s="202"/>
      <c r="H7" s="203"/>
      <c r="I7" s="203"/>
      <c r="J7" s="204"/>
      <c r="K7" s="208"/>
      <c r="L7" s="11"/>
    </row>
    <row r="8" spans="1:12" ht="27.75" customHeight="1" thickBot="1">
      <c r="A8" s="191"/>
      <c r="B8" s="191"/>
      <c r="C8" s="191"/>
      <c r="D8" s="191"/>
      <c r="E8" s="191"/>
      <c r="F8" s="195"/>
      <c r="G8" s="205"/>
      <c r="H8" s="206"/>
      <c r="I8" s="206"/>
      <c r="J8" s="207"/>
      <c r="K8" s="209"/>
      <c r="L8" s="11"/>
    </row>
    <row r="9" spans="1:12" ht="24" customHeight="1" thickBot="1">
      <c r="A9" s="210" t="s">
        <v>10</v>
      </c>
      <c r="B9" s="211"/>
      <c r="C9" s="211"/>
      <c r="D9" s="211"/>
      <c r="E9" s="211"/>
      <c r="F9" s="212"/>
      <c r="G9" s="17" t="s">
        <v>11</v>
      </c>
      <c r="H9" s="18" t="s">
        <v>12</v>
      </c>
      <c r="I9" s="17" t="s">
        <v>13</v>
      </c>
      <c r="J9" s="17" t="s">
        <v>14</v>
      </c>
      <c r="K9" s="19" t="s">
        <v>15</v>
      </c>
      <c r="L9" s="20"/>
    </row>
    <row r="10" spans="1:12" ht="15.75" customHeight="1">
      <c r="A10" s="213" t="s">
        <v>16</v>
      </c>
      <c r="B10" s="215" t="s">
        <v>17</v>
      </c>
      <c r="C10" s="215" t="s">
        <v>18</v>
      </c>
      <c r="D10" s="216">
        <v>44344</v>
      </c>
      <c r="E10" s="216">
        <v>45416</v>
      </c>
      <c r="F10" s="217">
        <v>1</v>
      </c>
      <c r="G10" s="21" t="str">
        <f ca="1">IFERROR(__xludf.DUMMYFUNCTION("IF(I10="""","""",FILTER(DATOS!D4:D237,DATOS!B4:B237=I10))"),"12-015")</f>
        <v>12-015</v>
      </c>
      <c r="H10" s="22" t="str">
        <f ca="1">IFERROR(__xludf.DUMMYFUNCTION("IF(I10="""","""",FILTER(DATOS!C4:C237,DATOS!B4:B237=I10))"),"BARRIOS UNIDOS")</f>
        <v>BARRIOS UNIDOS</v>
      </c>
      <c r="I10" s="23" t="s">
        <v>19</v>
      </c>
      <c r="J10" s="24" t="s">
        <v>18</v>
      </c>
      <c r="K10" s="25">
        <v>57112142</v>
      </c>
      <c r="L10" s="8">
        <v>97795779692</v>
      </c>
    </row>
    <row r="11" spans="1:12" ht="15.75" customHeight="1">
      <c r="A11" s="214"/>
      <c r="B11" s="197"/>
      <c r="C11" s="197"/>
      <c r="D11" s="197"/>
      <c r="E11" s="197"/>
      <c r="F11" s="197"/>
      <c r="G11" s="26" t="str">
        <f ca="1">IFERROR(__xludf.DUMMYFUNCTION("IF(I11="""","""",FILTER(DATOS!$D$4:$D$237,DATOS!$B$4:$B$237=I11))"),"01-075")</f>
        <v>01-075</v>
      </c>
      <c r="H11" s="27" t="str">
        <f ca="1">IFERROR(__xludf.DUMMYFUNCTION("IF(I11="""","""",FILTER(DATOS!$C$4:$C$237,DATOS!$B$4:$B$237=I11))"),"USAQUEN")</f>
        <v>USAQUEN</v>
      </c>
      <c r="I11" s="28" t="s">
        <v>20</v>
      </c>
      <c r="J11" s="29" t="s">
        <v>18</v>
      </c>
      <c r="K11" s="30">
        <v>60400980</v>
      </c>
      <c r="L11" s="8"/>
    </row>
    <row r="12" spans="1:12" ht="15.75" customHeight="1">
      <c r="A12" s="214"/>
      <c r="B12" s="197"/>
      <c r="C12" s="197"/>
      <c r="D12" s="197"/>
      <c r="E12" s="197"/>
      <c r="F12" s="197"/>
      <c r="G12" s="26" t="str">
        <f ca="1">IFERROR(__xludf.DUMMYFUNCTION("IF(I12="""","""",FILTER(DATOS!$D$4:$D$237,DATOS!$B$4:$B$237=I12))"),"09-104")</f>
        <v>09-104</v>
      </c>
      <c r="H12" s="27" t="str">
        <f ca="1">IFERROR(__xludf.DUMMYFUNCTION("IF(I12="""","""",FILTER(DATOS!$C$4:$C$237,DATOS!$B$4:$B$237=I12))"),"FONTIBON")</f>
        <v>FONTIBON</v>
      </c>
      <c r="I12" s="31" t="s">
        <v>21</v>
      </c>
      <c r="J12" s="29" t="s">
        <v>18</v>
      </c>
      <c r="K12" s="30">
        <v>82782991</v>
      </c>
      <c r="L12" s="8"/>
    </row>
    <row r="13" spans="1:12" ht="15.75" customHeight="1">
      <c r="A13" s="214"/>
      <c r="B13" s="197"/>
      <c r="C13" s="197"/>
      <c r="D13" s="197"/>
      <c r="E13" s="197"/>
      <c r="F13" s="197"/>
      <c r="G13" s="26" t="str">
        <f ca="1">IFERROR(__xludf.DUMMYFUNCTION("IF(I13="""","""",FILTER(DATOS!$D$4:$D$237,DATOS!$B$4:$B$237=I13))"),"10-215")</f>
        <v>10-215</v>
      </c>
      <c r="H13" s="27" t="str">
        <f ca="1">IFERROR(__xludf.DUMMYFUNCTION("IF(I13="""","""",FILTER(DATOS!$C$4:$C$237,DATOS!$B$4:$B$237=I13))"),"ENGATIVA")</f>
        <v>ENGATIVA</v>
      </c>
      <c r="I13" s="31" t="s">
        <v>22</v>
      </c>
      <c r="J13" s="29" t="s">
        <v>18</v>
      </c>
      <c r="K13" s="30">
        <v>57112143</v>
      </c>
      <c r="L13" s="8"/>
    </row>
    <row r="14" spans="1:12" ht="15.75" customHeight="1">
      <c r="A14" s="214"/>
      <c r="B14" s="197"/>
      <c r="C14" s="197"/>
      <c r="D14" s="197"/>
      <c r="E14" s="197"/>
      <c r="F14" s="197"/>
      <c r="G14" s="26" t="str">
        <f ca="1">IFERROR(__xludf.DUMMYFUNCTION("IF(I14="""","""",FILTER(DATOS!$D$4:$D$237,DATOS!$B$4:$B$237=I14))"),"13-123")</f>
        <v>13-123</v>
      </c>
      <c r="H14" s="27" t="str">
        <f ca="1">IFERROR(__xludf.DUMMYFUNCTION("IF(I14="""","""",FILTER(DATOS!$C$4:$C$237,DATOS!$B$4:$B$237=I14))"),"TEUSAQUILLO")</f>
        <v>TEUSAQUILLO</v>
      </c>
      <c r="I14" s="31" t="s">
        <v>23</v>
      </c>
      <c r="J14" s="29" t="s">
        <v>24</v>
      </c>
      <c r="K14" s="30">
        <v>57112143</v>
      </c>
      <c r="L14" s="8"/>
    </row>
    <row r="15" spans="1:12">
      <c r="A15" s="214"/>
      <c r="B15" s="197"/>
      <c r="C15" s="197"/>
      <c r="D15" s="197"/>
      <c r="E15" s="197"/>
      <c r="F15" s="197"/>
      <c r="G15" s="26" t="str">
        <f ca="1">IFERROR(__xludf.DUMMYFUNCTION("IF(I15="""","""",FILTER(DATOS!$D$4:$D$237,DATOS!$B$4:$B$237=I15))"),"13-123")</f>
        <v>13-123</v>
      </c>
      <c r="H15" s="27" t="str">
        <f ca="1">IFERROR(__xludf.DUMMYFUNCTION("IF(I15="""","""",FILTER(DATOS!$C$4:$C$237,DATOS!$B$4:$B$237=I15))"),"TEUSAQUILLO")</f>
        <v>TEUSAQUILLO</v>
      </c>
      <c r="I15" s="31" t="s">
        <v>23</v>
      </c>
      <c r="J15" s="29" t="s">
        <v>25</v>
      </c>
      <c r="K15" s="30">
        <v>24429979</v>
      </c>
      <c r="L15" s="8"/>
    </row>
    <row r="16" spans="1:12" ht="15.75" customHeight="1">
      <c r="A16" s="214"/>
      <c r="B16" s="197"/>
      <c r="C16" s="197"/>
      <c r="D16" s="197"/>
      <c r="E16" s="197"/>
      <c r="F16" s="197"/>
      <c r="G16" s="26" t="str">
        <f ca="1">IFERROR(__xludf.DUMMYFUNCTION("IF(I16="""","""",FILTER(DATOS!$D$4:$D$237,DATOS!$B$4:$B$237=I16))"),"11-069")</f>
        <v>11-069</v>
      </c>
      <c r="H16" s="27" t="str">
        <f ca="1">IFERROR(__xludf.DUMMYFUNCTION("IF(I16="""","""",FILTER(DATOS!$C$4:$C$237,DATOS!$B$4:$B$237=I16))"),"SUBA")</f>
        <v>SUBA</v>
      </c>
      <c r="I16" s="31" t="s">
        <v>26</v>
      </c>
      <c r="J16" s="29" t="s">
        <v>18</v>
      </c>
      <c r="K16" s="30">
        <v>61361120</v>
      </c>
      <c r="L16" s="8"/>
    </row>
    <row r="17" spans="1:12" ht="15.75" customHeight="1">
      <c r="A17" s="214"/>
      <c r="B17" s="197"/>
      <c r="C17" s="197"/>
      <c r="D17" s="197"/>
      <c r="E17" s="197"/>
      <c r="F17" s="197"/>
      <c r="G17" s="26" t="str">
        <f ca="1">IFERROR(__xludf.DUMMYFUNCTION("IF(I17="""","""",FILTER(DATOS!$D$4:$D$237,DATOS!$B$4:$B$237=I17))"),"11-212")</f>
        <v>11-212</v>
      </c>
      <c r="H17" s="27" t="str">
        <f ca="1">IFERROR(__xludf.DUMMYFUNCTION("IF(I17="""","""",FILTER(DATOS!$C$4:$C$237,DATOS!$B$4:$B$237=I17))"),"SUBA")</f>
        <v>SUBA</v>
      </c>
      <c r="I17" s="31" t="s">
        <v>27</v>
      </c>
      <c r="J17" s="29" t="s">
        <v>18</v>
      </c>
      <c r="K17" s="30">
        <v>57112143</v>
      </c>
      <c r="L17" s="8"/>
    </row>
    <row r="18" spans="1:12" ht="15.75" customHeight="1">
      <c r="A18" s="214"/>
      <c r="B18" s="197"/>
      <c r="C18" s="197"/>
      <c r="D18" s="197"/>
      <c r="E18" s="197"/>
      <c r="F18" s="197"/>
      <c r="G18" s="32" t="str">
        <f ca="1">IFERROR(__xludf.DUMMYFUNCTION("IF(I18="""","""",FILTER(DATOS!$D$4:$D$237,DATOS!$B$4:$B$237=I18))"),"12-1000")</f>
        <v>12-1000</v>
      </c>
      <c r="H18" s="33" t="str">
        <f ca="1">IFERROR(__xludf.DUMMYFUNCTION("IF(I18="""","""",FILTER(DATOS!$C$4:$C$237,DATOS!$B$4:$B$237=I18))"),"BARRIOS UNIDOS")</f>
        <v>BARRIOS UNIDOS</v>
      </c>
      <c r="I18" s="31" t="s">
        <v>28</v>
      </c>
      <c r="J18" s="29" t="s">
        <v>18</v>
      </c>
      <c r="K18" s="30">
        <v>284349800</v>
      </c>
      <c r="L18" s="8"/>
    </row>
    <row r="19" spans="1:12" ht="15.75" customHeight="1">
      <c r="A19" s="214"/>
      <c r="B19" s="197"/>
      <c r="C19" s="197"/>
      <c r="D19" s="197"/>
      <c r="E19" s="197"/>
      <c r="F19" s="197"/>
      <c r="G19" s="32" t="str">
        <f ca="1">IFERROR(__xludf.DUMMYFUNCTION("IF(I19="""","""",FILTER(DATOS!$D$4:$D$237,DATOS!$B$4:$B$237=I19))"),"01-1000")</f>
        <v>01-1000</v>
      </c>
      <c r="H19" s="33" t="str">
        <f ca="1">IFERROR(__xludf.DUMMYFUNCTION("IF(I19="""","""",FILTER(DATOS!$C$4:$C$237,DATOS!$B$4:$B$237=I19))"),"USAQUEN")</f>
        <v>USAQUEN</v>
      </c>
      <c r="I19" s="34" t="s">
        <v>29</v>
      </c>
      <c r="J19" s="29" t="s">
        <v>18</v>
      </c>
      <c r="K19" s="30">
        <v>81294772</v>
      </c>
      <c r="L19" s="8"/>
    </row>
    <row r="20" spans="1:12" ht="21.75" customHeight="1">
      <c r="A20" s="214"/>
      <c r="B20" s="197"/>
      <c r="C20" s="197"/>
      <c r="D20" s="197"/>
      <c r="E20" s="197"/>
      <c r="F20" s="197"/>
      <c r="G20" s="26" t="str">
        <f ca="1">IFERROR(__xludf.DUMMYFUNCTION("IF(I20="""","""",FILTER(DATOS!$D$4:$D$237,DATOS!$B$4:$B$237=I20))"),"10-169")</f>
        <v>10-169</v>
      </c>
      <c r="H20" s="27" t="str">
        <f ca="1">IFERROR(__xludf.DUMMYFUNCTION("IF(I20="""","""",FILTER(DATOS!$C$4:$C$237,DATOS!$B$4:$B$237=I20))"),"ENGATIVA")</f>
        <v>ENGATIVA</v>
      </c>
      <c r="I20" s="31" t="s">
        <v>30</v>
      </c>
      <c r="J20" s="29" t="s">
        <v>18</v>
      </c>
      <c r="K20" s="30">
        <v>60400980</v>
      </c>
      <c r="L20" s="8"/>
    </row>
    <row r="21" spans="1:12" ht="15.75" customHeight="1">
      <c r="A21" s="214"/>
      <c r="B21" s="197"/>
      <c r="C21" s="197"/>
      <c r="D21" s="197"/>
      <c r="E21" s="197"/>
      <c r="F21" s="197"/>
      <c r="G21" s="26" t="str">
        <f ca="1">IFERROR(__xludf.DUMMYFUNCTION("IF(I21="""","""",FILTER(DATOS!$D$4:$D$237,DATOS!$B$4:$B$237=I21))"),"12-092")</f>
        <v>12-092</v>
      </c>
      <c r="H21" s="27" t="str">
        <f ca="1">IFERROR(__xludf.DUMMYFUNCTION("IF(I21="""","""",FILTER(DATOS!$C$4:$C$237,DATOS!$B$4:$B$237=I21))"),"BARRIOS UNIDOS")</f>
        <v>BARRIOS UNIDOS</v>
      </c>
      <c r="I21" s="31" t="s">
        <v>31</v>
      </c>
      <c r="J21" s="29" t="s">
        <v>18</v>
      </c>
      <c r="K21" s="30">
        <v>283275090</v>
      </c>
      <c r="L21" s="8"/>
    </row>
    <row r="22" spans="1:12" ht="29.25" customHeight="1">
      <c r="A22" s="214"/>
      <c r="B22" s="197"/>
      <c r="C22" s="197"/>
      <c r="D22" s="197"/>
      <c r="E22" s="197"/>
      <c r="F22" s="197"/>
      <c r="G22" s="26" t="str">
        <f ca="1">IFERROR(__xludf.DUMMYFUNCTION("IF(I22="""","""",FILTER(DATOS!$D$4:$D$237,DATOS!$B$4:$B$237=I22))"),"13-122")</f>
        <v>13-122</v>
      </c>
      <c r="H22" s="27" t="str">
        <f ca="1">IFERROR(__xludf.DUMMYFUNCTION("IF(I22="""","""",FILTER(DATOS!$C$4:$C$237,DATOS!$B$4:$B$237=I22))"),"TEUSAQUILLO")</f>
        <v>TEUSAQUILLO</v>
      </c>
      <c r="I22" s="31" t="s">
        <v>32</v>
      </c>
      <c r="J22" s="29" t="s">
        <v>18</v>
      </c>
      <c r="K22" s="30">
        <v>257589917</v>
      </c>
      <c r="L22" s="8"/>
    </row>
    <row r="23" spans="1:12" ht="15.75" customHeight="1">
      <c r="A23" s="214"/>
      <c r="B23" s="197"/>
      <c r="C23" s="197"/>
      <c r="D23" s="197"/>
      <c r="E23" s="197"/>
      <c r="F23" s="197"/>
      <c r="G23" s="26" t="str">
        <f ca="1">IFERROR(__xludf.DUMMYFUNCTION("IF(I23="""","""",FILTER(DATOS!$D$4:$D$237,DATOS!$B$4:$B$237=I23))"),"10-192")</f>
        <v>10-192</v>
      </c>
      <c r="H23" s="27" t="str">
        <f ca="1">IFERROR(__xludf.DUMMYFUNCTION("IF(I23="""","""",FILTER(DATOS!$C$4:$C$237,DATOS!$B$4:$B$237=I23))"),"ENGATIVA")</f>
        <v>ENGATIVA</v>
      </c>
      <c r="I23" s="31" t="s">
        <v>33</v>
      </c>
      <c r="J23" s="29" t="s">
        <v>18</v>
      </c>
      <c r="K23" s="30">
        <v>57112143</v>
      </c>
      <c r="L23" s="8"/>
    </row>
    <row r="24" spans="1:12" ht="15.75" customHeight="1">
      <c r="A24" s="214"/>
      <c r="B24" s="197"/>
      <c r="C24" s="197"/>
      <c r="D24" s="197"/>
      <c r="E24" s="197"/>
      <c r="F24" s="197"/>
      <c r="G24" s="26" t="str">
        <f ca="1">IFERROR(__xludf.DUMMYFUNCTION("IF(I24="""","""",FILTER(DATOS!$D$4:$D$237,DATOS!$B$4:$B$237=I24))"),"11-368")</f>
        <v>11-368</v>
      </c>
      <c r="H24" s="27" t="str">
        <f ca="1">IFERROR(__xludf.DUMMYFUNCTION("IF(I24="""","""",FILTER(DATOS!$C$4:$C$237,DATOS!$B$4:$B$237=I24))"),"SUBA")</f>
        <v>SUBA</v>
      </c>
      <c r="I24" s="31" t="s">
        <v>34</v>
      </c>
      <c r="J24" s="29" t="s">
        <v>18</v>
      </c>
      <c r="K24" s="30">
        <v>232780184</v>
      </c>
      <c r="L24" s="8"/>
    </row>
    <row r="25" spans="1:12" ht="15.75" customHeight="1">
      <c r="A25" s="214"/>
      <c r="B25" s="197"/>
      <c r="C25" s="197"/>
      <c r="D25" s="197"/>
      <c r="E25" s="197"/>
      <c r="F25" s="197"/>
      <c r="G25" s="26" t="str">
        <f ca="1">IFERROR(__xludf.DUMMYFUNCTION("IF(I25="""","""",FILTER(DATOS!$D$4:$D$237,DATOS!$B$4:$B$237=I25))"),"11-368")</f>
        <v>11-368</v>
      </c>
      <c r="H25" s="27" t="str">
        <f ca="1">IFERROR(__xludf.DUMMYFUNCTION("IF(I25="""","""",FILTER(DATOS!$C$4:$C$237,DATOS!$B$4:$B$237=I25))"),"SUBA")</f>
        <v>SUBA</v>
      </c>
      <c r="I25" s="31" t="s">
        <v>35</v>
      </c>
      <c r="J25" s="29" t="s">
        <v>18</v>
      </c>
      <c r="K25" s="30">
        <v>243580764</v>
      </c>
      <c r="L25" s="8"/>
    </row>
    <row r="26" spans="1:12" ht="15.75" customHeight="1">
      <c r="A26" s="214"/>
      <c r="B26" s="197"/>
      <c r="C26" s="197"/>
      <c r="D26" s="197"/>
      <c r="E26" s="197"/>
      <c r="F26" s="197"/>
      <c r="G26" s="26" t="str">
        <f ca="1">IFERROR(__xludf.DUMMYFUNCTION("IF(I26="""","""",FILTER(DATOS!$D$4:$D$237,DATOS!$B$4:$B$237=I26))"),"12-023")</f>
        <v>12-023</v>
      </c>
      <c r="H26" s="27" t="str">
        <f ca="1">IFERROR(__xludf.DUMMYFUNCTION("IF(I26="""","""",FILTER(DATOS!$C$4:$C$237,DATOS!$B$4:$B$237=I26))"),"BARRIOS UNIDOS")</f>
        <v>BARRIOS UNIDOS</v>
      </c>
      <c r="I26" s="31" t="s">
        <v>36</v>
      </c>
      <c r="J26" s="29" t="s">
        <v>18</v>
      </c>
      <c r="K26" s="30">
        <v>57112143</v>
      </c>
      <c r="L26" s="8"/>
    </row>
    <row r="27" spans="1:12" ht="15.75" customHeight="1">
      <c r="A27" s="214"/>
      <c r="B27" s="197"/>
      <c r="C27" s="197"/>
      <c r="D27" s="197"/>
      <c r="E27" s="197"/>
      <c r="F27" s="197"/>
      <c r="G27" s="26" t="str">
        <f ca="1">IFERROR(__xludf.DUMMYFUNCTION("IF(I27="""","""",FILTER(DATOS!$D$4:$D$237,DATOS!$B$4:$B$237=I27))"),"10-171")</f>
        <v>10-171</v>
      </c>
      <c r="H27" s="27" t="str">
        <f ca="1">IFERROR(__xludf.DUMMYFUNCTION("IF(I27="""","""",FILTER(DATOS!$C$4:$C$237,DATOS!$B$4:$B$237=I27))"),"ENGATIVA")</f>
        <v>ENGATIVA</v>
      </c>
      <c r="I27" s="31" t="s">
        <v>37</v>
      </c>
      <c r="J27" s="29" t="s">
        <v>18</v>
      </c>
      <c r="K27" s="30">
        <v>212223178</v>
      </c>
      <c r="L27" s="8"/>
    </row>
    <row r="28" spans="1:12" ht="15.75" customHeight="1">
      <c r="A28" s="214"/>
      <c r="B28" s="197"/>
      <c r="C28" s="197"/>
      <c r="D28" s="197"/>
      <c r="E28" s="197"/>
      <c r="F28" s="197"/>
      <c r="G28" s="26" t="str">
        <f ca="1">IFERROR(__xludf.DUMMYFUNCTION("IF(I28="""","""",FILTER(DATOS!$D$4:$D$237,DATOS!$B$4:$B$237=I28))"),"10-311")</f>
        <v>10-311</v>
      </c>
      <c r="H28" s="27" t="str">
        <f ca="1">IFERROR(__xludf.DUMMYFUNCTION("IF(I28="""","""",FILTER(DATOS!$C$4:$C$237,DATOS!$B$4:$B$237=I28))"),"ENGATIVA")</f>
        <v>ENGATIVA</v>
      </c>
      <c r="I28" s="31" t="s">
        <v>38</v>
      </c>
      <c r="J28" s="29" t="s">
        <v>18</v>
      </c>
      <c r="K28" s="30">
        <v>311119152</v>
      </c>
      <c r="L28" s="8"/>
    </row>
    <row r="29" spans="1:12" ht="15.75" customHeight="1">
      <c r="A29" s="214"/>
      <c r="B29" s="197"/>
      <c r="C29" s="197"/>
      <c r="D29" s="197"/>
      <c r="E29" s="197"/>
      <c r="F29" s="197"/>
      <c r="G29" s="26" t="str">
        <f ca="1">IFERROR(__xludf.DUMMYFUNCTION("IF(I29="""","""",FILTER(DATOS!$D$4:$D$237,DATOS!$B$4:$B$237=I29))"),"11-205")</f>
        <v>11-205</v>
      </c>
      <c r="H29" s="27" t="str">
        <f ca="1">IFERROR(__xludf.DUMMYFUNCTION("IF(I29="""","""",FILTER(DATOS!$C$4:$C$237,DATOS!$B$4:$B$237=I29))"),"SUBA")</f>
        <v>SUBA</v>
      </c>
      <c r="I29" s="31" t="s">
        <v>39</v>
      </c>
      <c r="J29" s="29" t="s">
        <v>18</v>
      </c>
      <c r="K29" s="30">
        <v>127764241</v>
      </c>
      <c r="L29" s="8"/>
    </row>
    <row r="30" spans="1:12" ht="15.75" customHeight="1">
      <c r="A30" s="214"/>
      <c r="B30" s="197"/>
      <c r="C30" s="197"/>
      <c r="D30" s="197"/>
      <c r="E30" s="197"/>
      <c r="F30" s="197"/>
      <c r="G30" s="26" t="str">
        <f ca="1">IFERROR(__xludf.DUMMYFUNCTION("IF(I30="""","""",FILTER(DATOS!$D$4:$D$237,DATOS!$B$4:$B$237=I30))"),"03-039")</f>
        <v>03-039</v>
      </c>
      <c r="H30" s="27" t="str">
        <f ca="1">IFERROR(__xludf.DUMMYFUNCTION("IF(I30="""","""",FILTER(DATOS!$C$4:$C$237,DATOS!$B$4:$B$237=I30))"),"SANTAFE")</f>
        <v>SANTAFE</v>
      </c>
      <c r="I30" s="34" t="s">
        <v>40</v>
      </c>
      <c r="J30" s="29" t="s">
        <v>18</v>
      </c>
      <c r="K30" s="30">
        <v>116965029</v>
      </c>
      <c r="L30" s="8"/>
    </row>
    <row r="31" spans="1:12" ht="15.75" customHeight="1">
      <c r="A31" s="214"/>
      <c r="B31" s="197"/>
      <c r="C31" s="197"/>
      <c r="D31" s="197"/>
      <c r="E31" s="197"/>
      <c r="F31" s="197"/>
      <c r="G31" s="26" t="str">
        <f ca="1">IFERROR(__xludf.DUMMYFUNCTION("IF(I31="""","""",FILTER(DATOS!$D$4:$D$237,DATOS!$B$4:$B$237=I31))"),"10-223")</f>
        <v>10-223</v>
      </c>
      <c r="H31" s="27" t="str">
        <f ca="1">IFERROR(__xludf.DUMMYFUNCTION("IF(I31="""","""",FILTER(DATOS!$C$4:$C$237,DATOS!$B$4:$B$237=I31))"),"ENGATIVA")</f>
        <v>ENGATIVA</v>
      </c>
      <c r="I31" s="31" t="s">
        <v>41</v>
      </c>
      <c r="J31" s="29" t="s">
        <v>18</v>
      </c>
      <c r="K31" s="30">
        <v>107063910</v>
      </c>
      <c r="L31" s="8"/>
    </row>
    <row r="32" spans="1:12" ht="15.75" customHeight="1">
      <c r="A32" s="214"/>
      <c r="B32" s="197"/>
      <c r="C32" s="197"/>
      <c r="D32" s="197"/>
      <c r="E32" s="197"/>
      <c r="F32" s="197"/>
      <c r="G32" s="26" t="str">
        <f ca="1">IFERROR(__xludf.DUMMYFUNCTION("IF(I32="""","""",FILTER(DATOS!$D$4:$D$237,DATOS!$B$4:$B$237=I32))"),"11-204")</f>
        <v>11-204</v>
      </c>
      <c r="H32" s="27" t="str">
        <f ca="1">IFERROR(__xludf.DUMMYFUNCTION("IF(I32="""","""",FILTER(DATOS!$C$4:$C$237,DATOS!$B$4:$B$237=I32))"),"SUBA")</f>
        <v>SUBA</v>
      </c>
      <c r="I32" s="31" t="s">
        <v>42</v>
      </c>
      <c r="J32" s="29" t="s">
        <v>18</v>
      </c>
      <c r="K32" s="30">
        <v>103775073</v>
      </c>
      <c r="L32" s="8"/>
    </row>
    <row r="33" spans="1:12" ht="15.75" customHeight="1">
      <c r="A33" s="214"/>
      <c r="B33" s="197"/>
      <c r="C33" s="197"/>
      <c r="D33" s="197"/>
      <c r="E33" s="197"/>
      <c r="F33" s="197"/>
      <c r="G33" s="26" t="str">
        <f ca="1">IFERROR(__xludf.DUMMYFUNCTION("IF(I33="""","""",FILTER(DATOS!$D$4:$D$237,DATOS!$B$4:$B$237=I33))"),"13-128")</f>
        <v>13-128</v>
      </c>
      <c r="H33" s="27" t="str">
        <f ca="1">IFERROR(__xludf.DUMMYFUNCTION("IF(I33="""","""",FILTER(DATOS!$C$4:$C$237,DATOS!$B$4:$B$237=I33))"),"TEUSAQUILLO")</f>
        <v>TEUSAQUILLO</v>
      </c>
      <c r="I33" s="31" t="s">
        <v>43</v>
      </c>
      <c r="J33" s="29" t="s">
        <v>18</v>
      </c>
      <c r="K33" s="30">
        <v>57112142</v>
      </c>
      <c r="L33" s="8"/>
    </row>
    <row r="34" spans="1:12" ht="15.75" customHeight="1">
      <c r="A34" s="214"/>
      <c r="B34" s="197"/>
      <c r="C34" s="197"/>
      <c r="D34" s="197"/>
      <c r="E34" s="197"/>
      <c r="F34" s="197"/>
      <c r="G34" s="26" t="str">
        <f ca="1">IFERROR(__xludf.DUMMYFUNCTION("IF(I34="""","""",FILTER(DATOS!$D$4:$D$237,DATOS!$B$4:$B$237=I34))"),"13-129")</f>
        <v>13-129</v>
      </c>
      <c r="H34" s="27" t="str">
        <f ca="1">IFERROR(__xludf.DUMMYFUNCTION("IF(I34="""","""",FILTER(DATOS!$C$4:$C$237,DATOS!$B$4:$B$237=I34))"),"TEUSAQUILLO")</f>
        <v>TEUSAQUILLO</v>
      </c>
      <c r="I34" s="35" t="s">
        <v>44</v>
      </c>
      <c r="J34" s="29" t="s">
        <v>18</v>
      </c>
      <c r="K34" s="30">
        <v>29305321</v>
      </c>
      <c r="L34" s="8"/>
    </row>
    <row r="35" spans="1:12" ht="15.75" customHeight="1">
      <c r="A35" s="214"/>
      <c r="B35" s="197"/>
      <c r="C35" s="197"/>
      <c r="D35" s="197"/>
      <c r="E35" s="197"/>
      <c r="F35" s="197"/>
      <c r="G35" s="26" t="str">
        <f ca="1">IFERROR(__xludf.DUMMYFUNCTION("IF(I35="""","""",FILTER(DATOS!$D$4:$D$237,DATOS!$B$4:$B$237=I35))"),"13-123")</f>
        <v>13-123</v>
      </c>
      <c r="H35" s="27" t="str">
        <f ca="1">IFERROR(__xludf.DUMMYFUNCTION("IF(I35="""","""",FILTER(DATOS!$C$4:$C$237,DATOS!$B$4:$B$237=I35))"),"TEUSAQUILLO")</f>
        <v>TEUSAQUILLO</v>
      </c>
      <c r="I35" s="31" t="s">
        <v>23</v>
      </c>
      <c r="J35" s="29" t="s">
        <v>45</v>
      </c>
      <c r="K35" s="30">
        <v>57112142</v>
      </c>
      <c r="L35" s="8"/>
    </row>
    <row r="36" spans="1:12" ht="15.75" customHeight="1">
      <c r="A36" s="214"/>
      <c r="B36" s="197"/>
      <c r="C36" s="197"/>
      <c r="D36" s="197"/>
      <c r="E36" s="197"/>
      <c r="F36" s="197"/>
      <c r="G36" s="26" t="str">
        <f ca="1">IFERROR(__xludf.DUMMYFUNCTION("IF(I36="""","""",FILTER(DATOS!$D$4:$D$237,DATOS!$B$4:$B$237=I36))"),"03-035")</f>
        <v>03-035</v>
      </c>
      <c r="H36" s="27" t="str">
        <f ca="1">IFERROR(__xludf.DUMMYFUNCTION("IF(I36="""","""",FILTER(DATOS!$C$4:$C$237,DATOS!$B$4:$B$237=I36))"),"SANTAFE")</f>
        <v>SANTAFE</v>
      </c>
      <c r="I36" s="34" t="s">
        <v>46</v>
      </c>
      <c r="J36" s="36" t="s">
        <v>18</v>
      </c>
      <c r="K36" s="30">
        <v>322855955</v>
      </c>
      <c r="L36" s="8"/>
    </row>
    <row r="37" spans="1:12" ht="15.75" customHeight="1">
      <c r="A37" s="214"/>
      <c r="B37" s="197"/>
      <c r="C37" s="197"/>
      <c r="D37" s="197"/>
      <c r="E37" s="197"/>
      <c r="F37" s="197"/>
      <c r="G37" s="26" t="str">
        <f ca="1">IFERROR(__xludf.DUMMYFUNCTION("IF(I37="""","""",FILTER(DATOS!$D$4:$D$237,DATOS!$B$4:$B$237=I37))"),"12-125")</f>
        <v>12-125</v>
      </c>
      <c r="H37" s="27" t="str">
        <f ca="1">IFERROR(__xludf.DUMMYFUNCTION("IF(I37="""","""",FILTER(DATOS!$C$4:$C$237,DATOS!$B$4:$B$237=I37))"),"BARRIOS UNIDOS")</f>
        <v>BARRIOS UNIDOS</v>
      </c>
      <c r="I37" s="31" t="s">
        <v>47</v>
      </c>
      <c r="J37" s="29" t="s">
        <v>18</v>
      </c>
      <c r="K37" s="30">
        <v>129853634</v>
      </c>
      <c r="L37" s="8"/>
    </row>
    <row r="38" spans="1:12" ht="15.75" customHeight="1">
      <c r="A38" s="214"/>
      <c r="B38" s="197"/>
      <c r="C38" s="197"/>
      <c r="D38" s="197"/>
      <c r="E38" s="197"/>
      <c r="F38" s="197"/>
      <c r="G38" s="26" t="str">
        <f ca="1">IFERROR(__xludf.DUMMYFUNCTION("IF(I38="""","""",FILTER(DATOS!$D$4:$D$237,DATOS!$B$4:$B$237=I38))"),"12-141")</f>
        <v>12-141</v>
      </c>
      <c r="H38" s="27" t="str">
        <f ca="1">IFERROR(__xludf.DUMMYFUNCTION("IF(I38="""","""",FILTER(DATOS!$C$4:$C$237,DATOS!$B$4:$B$237=I38))"),"BARRIOS UNIDOS")</f>
        <v>BARRIOS UNIDOS</v>
      </c>
      <c r="I38" s="31" t="s">
        <v>48</v>
      </c>
      <c r="J38" s="29" t="s">
        <v>18</v>
      </c>
      <c r="K38" s="30">
        <v>138946302</v>
      </c>
      <c r="L38" s="8"/>
    </row>
    <row r="39" spans="1:12" ht="15.75" customHeight="1">
      <c r="A39" s="214"/>
      <c r="B39" s="197"/>
      <c r="C39" s="197"/>
      <c r="D39" s="197"/>
      <c r="E39" s="197"/>
      <c r="F39" s="197"/>
      <c r="G39" s="26" t="str">
        <f ca="1">IFERROR(__xludf.DUMMYFUNCTION("IF(I39="""","""",FILTER(DATOS!$D$4:$D$237,DATOS!$B$4:$B$237=I39))"),"16-416")</f>
        <v>16-416</v>
      </c>
      <c r="H39" s="27" t="str">
        <f ca="1">IFERROR(__xludf.DUMMYFUNCTION("IF(I39="""","""",FILTER(DATOS!$C$4:$C$237,DATOS!$B$4:$B$237=I39))"),"PUENTE ARANDA")</f>
        <v>PUENTE ARANDA</v>
      </c>
      <c r="I39" s="31" t="s">
        <v>49</v>
      </c>
      <c r="J39" s="29" t="s">
        <v>18</v>
      </c>
      <c r="K39" s="30">
        <v>110688099</v>
      </c>
      <c r="L39" s="8"/>
    </row>
    <row r="40" spans="1:12" ht="15.75" customHeight="1">
      <c r="A40" s="214"/>
      <c r="B40" s="197"/>
      <c r="C40" s="197"/>
      <c r="D40" s="197"/>
      <c r="E40" s="197"/>
      <c r="F40" s="197"/>
      <c r="G40" s="26" t="str">
        <f ca="1">IFERROR(__xludf.DUMMYFUNCTION("IF(I40="""","""",FILTER(DATOS!$D$4:$D$237,DATOS!$B$4:$B$237=I40))"),"12-117")</f>
        <v>12-117</v>
      </c>
      <c r="H40" s="27" t="str">
        <f ca="1">IFERROR(__xludf.DUMMYFUNCTION("IF(I40="""","""",FILTER(DATOS!$C$4:$C$237,DATOS!$B$4:$B$237=I40))"),"BARRIOS UNIDOS")</f>
        <v>BARRIOS UNIDOS</v>
      </c>
      <c r="I40" s="31" t="s">
        <v>50</v>
      </c>
      <c r="J40" s="29" t="s">
        <v>18</v>
      </c>
      <c r="K40" s="30">
        <v>60341510</v>
      </c>
      <c r="L40" s="8"/>
    </row>
    <row r="41" spans="1:12">
      <c r="A41" s="214"/>
      <c r="B41" s="197"/>
      <c r="C41" s="197"/>
      <c r="D41" s="197"/>
      <c r="E41" s="197"/>
      <c r="F41" s="197"/>
      <c r="G41" s="26" t="str">
        <f ca="1">IFERROR(__xludf.DUMMYFUNCTION("IF(I41="""","""",FILTER(DATOS!$D$4:$D$237,DATOS!$B$4:$B$237=I41))"),"03-093")</f>
        <v>03-093</v>
      </c>
      <c r="H41" s="27" t="str">
        <f ca="1">IFERROR(__xludf.DUMMYFUNCTION("IF(I41="""","""",FILTER(DATOS!$C$4:$C$237,DATOS!$B$4:$B$237=I41))"),"SANTAFE")</f>
        <v>SANTAFE</v>
      </c>
      <c r="I41" s="34" t="s">
        <v>51</v>
      </c>
      <c r="J41" s="29" t="s">
        <v>18</v>
      </c>
      <c r="K41" s="30">
        <v>62728976</v>
      </c>
      <c r="L41" s="8"/>
    </row>
    <row r="42" spans="1:12" ht="15.75" customHeight="1">
      <c r="A42" s="214"/>
      <c r="B42" s="197"/>
      <c r="C42" s="197"/>
      <c r="D42" s="197"/>
      <c r="E42" s="197"/>
      <c r="F42" s="197"/>
      <c r="G42" s="26" t="str">
        <f ca="1">IFERROR(__xludf.DUMMYFUNCTION("IF(I42="""","""",FILTER(DATOS!$D$4:$D$237,DATOS!$B$4:$B$237=I42))"),"10-531")</f>
        <v>10-531</v>
      </c>
      <c r="H42" s="27" t="str">
        <f ca="1">IFERROR(__xludf.DUMMYFUNCTION("IF(I42="""","""",FILTER(DATOS!$C$4:$C$237,DATOS!$B$4:$B$237=I42))"),"ENGATIVA")</f>
        <v>ENGATIVA</v>
      </c>
      <c r="I42" s="31" t="s">
        <v>52</v>
      </c>
      <c r="J42" s="29" t="s">
        <v>18</v>
      </c>
      <c r="K42" s="30">
        <v>60728432</v>
      </c>
      <c r="L42" s="8"/>
    </row>
    <row r="43" spans="1:12">
      <c r="A43" s="214"/>
      <c r="B43" s="197"/>
      <c r="C43" s="197"/>
      <c r="D43" s="197"/>
      <c r="E43" s="197"/>
      <c r="F43" s="197"/>
      <c r="G43" s="26" t="str">
        <f ca="1">IFERROR(__xludf.DUMMYFUNCTION("IF(I43="""","""",FILTER(DATOS!$D$4:$D$237,DATOS!$B$4:$B$237=I43))"),"12-091")</f>
        <v>12-091</v>
      </c>
      <c r="H43" s="27" t="str">
        <f ca="1">IFERROR(__xludf.DUMMYFUNCTION("IF(I43="""","""",FILTER(DATOS!$C$4:$C$237,DATOS!$B$4:$B$237=I43))"),"BARRIOS UNIDOS")</f>
        <v>BARRIOS UNIDOS</v>
      </c>
      <c r="I43" s="31" t="s">
        <v>53</v>
      </c>
      <c r="J43" s="29" t="s">
        <v>54</v>
      </c>
      <c r="K43" s="30">
        <v>236296202</v>
      </c>
      <c r="L43" s="8"/>
    </row>
    <row r="44" spans="1:12" ht="27" customHeight="1">
      <c r="A44" s="214"/>
      <c r="B44" s="197"/>
      <c r="C44" s="197"/>
      <c r="D44" s="197"/>
      <c r="E44" s="197"/>
      <c r="F44" s="197"/>
      <c r="G44" s="26" t="str">
        <f ca="1">IFERROR(__xludf.DUMMYFUNCTION("IF(I44="""","""",FILTER(DATOS!$D$4:$D$237,DATOS!$B$4:$B$237=I44))"),"14-036")</f>
        <v>14-036</v>
      </c>
      <c r="H44" s="27" t="str">
        <f ca="1">IFERROR(__xludf.DUMMYFUNCTION("IF(I44="""","""",FILTER(DATOS!$C$4:$C$237,DATOS!$B$4:$B$237=I44))"),"MARTIRES")</f>
        <v>MARTIRES</v>
      </c>
      <c r="I44" s="31" t="s">
        <v>55</v>
      </c>
      <c r="J44" s="29" t="s">
        <v>18</v>
      </c>
      <c r="K44" s="30">
        <v>57112142</v>
      </c>
      <c r="L44" s="8"/>
    </row>
    <row r="45" spans="1:12" ht="15.75" customHeight="1">
      <c r="A45" s="214"/>
      <c r="B45" s="197"/>
      <c r="C45" s="197"/>
      <c r="D45" s="197"/>
      <c r="E45" s="197"/>
      <c r="F45" s="197"/>
      <c r="G45" s="26" t="str">
        <f ca="1">IFERROR(__xludf.DUMMYFUNCTION("IF(I45="""","""",FILTER(DATOS!$D$4:$D$237,DATOS!$B$4:$B$237=I45))"),"10-234")</f>
        <v>10-234</v>
      </c>
      <c r="H45" s="27" t="str">
        <f ca="1">IFERROR(__xludf.DUMMYFUNCTION("IF(I45="""","""",FILTER(DATOS!$C$4:$C$237,DATOS!$B$4:$B$237=I45))"),"ENGATIVA")</f>
        <v>ENGATIVA</v>
      </c>
      <c r="I45" s="31" t="s">
        <v>56</v>
      </c>
      <c r="J45" s="29" t="s">
        <v>18</v>
      </c>
      <c r="K45" s="30">
        <v>134535375</v>
      </c>
      <c r="L45" s="8"/>
    </row>
    <row r="46" spans="1:12" ht="15.75" customHeight="1">
      <c r="A46" s="214"/>
      <c r="B46" s="197"/>
      <c r="C46" s="197"/>
      <c r="D46" s="197"/>
      <c r="E46" s="197"/>
      <c r="F46" s="197"/>
      <c r="G46" s="26" t="str">
        <f ca="1">IFERROR(__xludf.DUMMYFUNCTION("IF(I46="""","""",FILTER(DATOS!$D$4:$D$237,DATOS!$B$4:$B$237=I46))"),"09-111")</f>
        <v>09-111</v>
      </c>
      <c r="H46" s="27" t="str">
        <f ca="1">IFERROR(__xludf.DUMMYFUNCTION("IF(I46="""","""",FILTER(DATOS!$C$4:$C$237,DATOS!$B$4:$B$237=I46))"),"FONTIBON")</f>
        <v>FONTIBON</v>
      </c>
      <c r="I46" s="31" t="s">
        <v>57</v>
      </c>
      <c r="J46" s="29" t="s">
        <v>18</v>
      </c>
      <c r="K46" s="30">
        <v>127764240</v>
      </c>
      <c r="L46" s="8"/>
    </row>
    <row r="47" spans="1:12" ht="15.75" customHeight="1">
      <c r="A47" s="214"/>
      <c r="B47" s="197"/>
      <c r="C47" s="197"/>
      <c r="D47" s="197"/>
      <c r="E47" s="197"/>
      <c r="F47" s="197"/>
      <c r="G47" s="26" t="str">
        <f ca="1">IFERROR(__xludf.DUMMYFUNCTION("IF(I47="""","""",FILTER(DATOS!$D$4:$D$237,DATOS!$B$4:$B$237=I47))"),"01-023")</f>
        <v>01-023</v>
      </c>
      <c r="H47" s="27" t="str">
        <f ca="1">IFERROR(__xludf.DUMMYFUNCTION("IF(I47="""","""",FILTER(DATOS!$C$4:$C$237,DATOS!$B$4:$B$237=I47))"),"USAQUEN")</f>
        <v>USAQUEN</v>
      </c>
      <c r="I47" s="34" t="s">
        <v>58</v>
      </c>
      <c r="J47" s="29" t="s">
        <v>18</v>
      </c>
      <c r="K47" s="30">
        <v>57112142</v>
      </c>
      <c r="L47" s="8"/>
    </row>
    <row r="48" spans="1:12" ht="21" customHeight="1">
      <c r="A48" s="214"/>
      <c r="B48" s="197"/>
      <c r="C48" s="197"/>
      <c r="D48" s="197"/>
      <c r="E48" s="197"/>
      <c r="F48" s="197"/>
      <c r="G48" s="26" t="str">
        <f ca="1">IFERROR(__xludf.DUMMYFUNCTION("IF(I48="""","""",FILTER(DATOS!$D$4:$D$237,DATOS!$B$4:$B$237=I48))"),"13-089")</f>
        <v>13-089</v>
      </c>
      <c r="H48" s="27" t="str">
        <f ca="1">IFERROR(__xludf.DUMMYFUNCTION("IF(I48="""","""",FILTER(DATOS!$C$4:$C$237,DATOS!$B$4:$B$237=I48))"),"TEUSAQUILLO")</f>
        <v>TEUSAQUILLO</v>
      </c>
      <c r="I48" s="31" t="s">
        <v>59</v>
      </c>
      <c r="J48" s="29" t="s">
        <v>18</v>
      </c>
      <c r="K48" s="30">
        <v>499790594</v>
      </c>
      <c r="L48" s="8"/>
    </row>
    <row r="49" spans="1:12" ht="15.75" customHeight="1">
      <c r="A49" s="214"/>
      <c r="B49" s="197"/>
      <c r="C49" s="197"/>
      <c r="D49" s="197"/>
      <c r="E49" s="197"/>
      <c r="F49" s="197"/>
      <c r="G49" s="26" t="str">
        <f ca="1">IFERROR(__xludf.DUMMYFUNCTION("IF(I49="""","""",FILTER(DATOS!$D$4:$D$237,DATOS!$B$4:$B$237=I49))"),"03-051")</f>
        <v>03-051</v>
      </c>
      <c r="H49" s="27" t="str">
        <f ca="1">IFERROR(__xludf.DUMMYFUNCTION("IF(I49="""","""",FILTER(DATOS!$C$4:$C$237,DATOS!$B$4:$B$237=I49))"),"SANTAFE")</f>
        <v>SANTAFE</v>
      </c>
      <c r="I49" s="34" t="s">
        <v>60</v>
      </c>
      <c r="J49" s="29" t="s">
        <v>18</v>
      </c>
      <c r="K49" s="30">
        <v>173303535</v>
      </c>
      <c r="L49" s="8"/>
    </row>
    <row r="50" spans="1:12">
      <c r="A50" s="214"/>
      <c r="B50" s="197"/>
      <c r="C50" s="197"/>
      <c r="D50" s="197"/>
      <c r="E50" s="197"/>
      <c r="F50" s="197"/>
      <c r="G50" s="26" t="str">
        <f ca="1">IFERROR(__xludf.DUMMYFUNCTION("IF(I50="""","""",FILTER(DATOS!$D$4:$D$237,DATOS!$B$4:$B$237=I50))"),"12-091")</f>
        <v>12-091</v>
      </c>
      <c r="H50" s="27" t="str">
        <f ca="1">IFERROR(__xludf.DUMMYFUNCTION("IF(I50="""","""",FILTER(DATOS!$C$4:$C$237,DATOS!$B$4:$B$237=I50))"),"BARRIOS UNIDOS")</f>
        <v>BARRIOS UNIDOS</v>
      </c>
      <c r="I50" s="37" t="s">
        <v>53</v>
      </c>
      <c r="J50" s="36" t="s">
        <v>61</v>
      </c>
      <c r="K50" s="30">
        <v>105263291</v>
      </c>
      <c r="L50" s="8"/>
    </row>
    <row r="51" spans="1:12" ht="24">
      <c r="A51" s="214"/>
      <c r="B51" s="197"/>
      <c r="C51" s="197"/>
      <c r="D51" s="197"/>
      <c r="E51" s="197"/>
      <c r="F51" s="197"/>
      <c r="G51" s="26" t="str">
        <f ca="1">IFERROR(__xludf.DUMMYFUNCTION("IF(I51="""","""",FILTER(DATOS!$D$4:$D$237,DATOS!$B$4:$B$237=I51))"),"10-290")</f>
        <v>10-290</v>
      </c>
      <c r="H51" s="27" t="str">
        <f ca="1">IFERROR(__xludf.DUMMYFUNCTION("IF(I51="""","""",FILTER(DATOS!$C$4:$C$237,DATOS!$B$4:$B$237=I51))"),"ENGATIVA")</f>
        <v>ENGATIVA</v>
      </c>
      <c r="I51" s="37" t="s">
        <v>62</v>
      </c>
      <c r="J51" s="29" t="s">
        <v>18</v>
      </c>
      <c r="K51" s="30">
        <v>363400350</v>
      </c>
      <c r="L51" s="8"/>
    </row>
    <row r="52" spans="1:12" ht="24">
      <c r="A52" s="214"/>
      <c r="B52" s="197"/>
      <c r="C52" s="197"/>
      <c r="D52" s="197"/>
      <c r="E52" s="197"/>
      <c r="F52" s="197"/>
      <c r="G52" s="26" t="str">
        <f ca="1">IFERROR(__xludf.DUMMYFUNCTION("IF(I52="""","""",FILTER(DATOS!$D$4:$D$237,DATOS!$B$4:$B$237=I52))"),"10-290")</f>
        <v>10-290</v>
      </c>
      <c r="H52" s="27" t="str">
        <f ca="1">IFERROR(__xludf.DUMMYFUNCTION("IF(I52="""","""",FILTER(DATOS!$C$4:$C$237,DATOS!$B$4:$B$237=I52))"),"ENGATIVA")</f>
        <v>ENGATIVA</v>
      </c>
      <c r="I52" s="37" t="s">
        <v>62</v>
      </c>
      <c r="J52" s="29" t="s">
        <v>63</v>
      </c>
      <c r="K52" s="30">
        <v>27525354</v>
      </c>
      <c r="L52" s="8"/>
    </row>
    <row r="53" spans="1:12" ht="15.75" customHeight="1">
      <c r="A53" s="214"/>
      <c r="B53" s="197"/>
      <c r="C53" s="197"/>
      <c r="D53" s="197"/>
      <c r="E53" s="197"/>
      <c r="F53" s="197"/>
      <c r="G53" s="26" t="str">
        <f ca="1">IFERROR(__xludf.DUMMYFUNCTION("IF(I53="""","""",FILTER(DATOS!$D$4:$D$237,DATOS!$B$4:$B$237=I53))"),"10-018")</f>
        <v>10-018</v>
      </c>
      <c r="H53" s="27" t="str">
        <f ca="1">IFERROR(__xludf.DUMMYFUNCTION("IF(I53="""","""",FILTER(DATOS!$C$4:$C$237,DATOS!$B$4:$B$237=I53))"),"ENGATIVA")</f>
        <v>ENGATIVA</v>
      </c>
      <c r="I53" s="37" t="s">
        <v>64</v>
      </c>
      <c r="J53" s="29" t="s">
        <v>18</v>
      </c>
      <c r="K53" s="30">
        <v>57112142</v>
      </c>
      <c r="L53" s="8"/>
    </row>
    <row r="54" spans="1:12" ht="15.75" customHeight="1">
      <c r="A54" s="214"/>
      <c r="B54" s="197"/>
      <c r="C54" s="197"/>
      <c r="D54" s="197"/>
      <c r="E54" s="197"/>
      <c r="F54" s="197"/>
      <c r="G54" s="26" t="str">
        <f ca="1">IFERROR(__xludf.DUMMYFUNCTION("IF(I54="""","""",FILTER(DATOS!$D$4:$D$237,DATOS!$B$4:$B$237=I54))"),"10-102")</f>
        <v>10-102</v>
      </c>
      <c r="H54" s="27" t="str">
        <f ca="1">IFERROR(__xludf.DUMMYFUNCTION("IF(I54="""","""",FILTER(DATOS!$C$4:$C$237,DATOS!$B$4:$B$237=I54))"),"ENGATIVA")</f>
        <v>ENGATIVA</v>
      </c>
      <c r="I54" s="37" t="s">
        <v>65</v>
      </c>
      <c r="J54" s="29" t="s">
        <v>18</v>
      </c>
      <c r="K54" s="30">
        <v>57112142</v>
      </c>
      <c r="L54" s="8"/>
    </row>
    <row r="55" spans="1:12" ht="15.75" customHeight="1">
      <c r="A55" s="214"/>
      <c r="B55" s="197"/>
      <c r="C55" s="197"/>
      <c r="D55" s="197"/>
      <c r="E55" s="197"/>
      <c r="F55" s="197"/>
      <c r="G55" s="26" t="str">
        <f ca="1">IFERROR(__xludf.DUMMYFUNCTION("IF(I55="""","""",FILTER(DATOS!$D$4:$D$237,DATOS!$B$4:$B$237=I55))"),"13-088")</f>
        <v>13-088</v>
      </c>
      <c r="H55" s="27" t="str">
        <f ca="1">IFERROR(__xludf.DUMMYFUNCTION("IF(I55="""","""",FILTER(DATOS!$C$4:$C$237,DATOS!$B$4:$B$237=I55))"),"TEUSAQUILLO")</f>
        <v>TEUSAQUILLO</v>
      </c>
      <c r="I55" s="37" t="s">
        <v>66</v>
      </c>
      <c r="J55" s="29" t="s">
        <v>18</v>
      </c>
      <c r="K55" s="30">
        <v>63883277</v>
      </c>
      <c r="L55" s="8"/>
    </row>
    <row r="56" spans="1:12" ht="15.75" customHeight="1">
      <c r="A56" s="214"/>
      <c r="B56" s="197"/>
      <c r="C56" s="197"/>
      <c r="D56" s="197"/>
      <c r="E56" s="197"/>
      <c r="F56" s="197"/>
      <c r="G56" s="26" t="str">
        <f ca="1">IFERROR(__xludf.DUMMYFUNCTION("IF(I56="""","""",FILTER(DATOS!$D$4:$D$237,DATOS!$B$4:$B$237=I56))"),"09-125")</f>
        <v>09-125</v>
      </c>
      <c r="H56" s="27" t="str">
        <f ca="1">IFERROR(__xludf.DUMMYFUNCTION("IF(I56="""","""",FILTER(DATOS!$C$4:$C$237,DATOS!$B$4:$B$237=I56))"),"FONTIBON")</f>
        <v>FONTIBON</v>
      </c>
      <c r="I56" s="37" t="s">
        <v>67</v>
      </c>
      <c r="J56" s="29" t="s">
        <v>18</v>
      </c>
      <c r="K56" s="30">
        <v>108552128</v>
      </c>
      <c r="L56" s="8"/>
    </row>
    <row r="57" spans="1:12" ht="15.75" customHeight="1">
      <c r="A57" s="214"/>
      <c r="B57" s="197"/>
      <c r="C57" s="197"/>
      <c r="D57" s="197"/>
      <c r="E57" s="197"/>
      <c r="F57" s="197"/>
      <c r="G57" s="26" t="str">
        <f ca="1">IFERROR(__xludf.DUMMYFUNCTION("IF(I57="""","""",FILTER(DATOS!$D$4:$D$237,DATOS!$B$4:$B$237=I57))"),"11-204")</f>
        <v>11-204</v>
      </c>
      <c r="H57" s="27" t="str">
        <f ca="1">IFERROR(__xludf.DUMMYFUNCTION("IF(I57="""","""",FILTER(DATOS!$C$4:$C$237,DATOS!$B$4:$B$237=I57))"),"SUBA")</f>
        <v>SUBA</v>
      </c>
      <c r="I57" s="38" t="s">
        <v>68</v>
      </c>
      <c r="J57" s="29" t="s">
        <v>18</v>
      </c>
      <c r="K57" s="30">
        <v>325710269</v>
      </c>
      <c r="L57" s="8"/>
    </row>
    <row r="58" spans="1:12" ht="15.75" customHeight="1">
      <c r="A58" s="214"/>
      <c r="B58" s="197"/>
      <c r="C58" s="197"/>
      <c r="D58" s="197"/>
      <c r="E58" s="197"/>
      <c r="F58" s="197"/>
      <c r="G58" s="26" t="str">
        <f ca="1">IFERROR(__xludf.DUMMYFUNCTION("IF(I58="""","""",FILTER(DATOS!$D$4:$D$237,DATOS!$B$4:$B$237=I58))"),"13-122")</f>
        <v>13-122</v>
      </c>
      <c r="H58" s="27" t="str">
        <f ca="1">IFERROR(__xludf.DUMMYFUNCTION("IF(I58="""","""",FILTER(DATOS!$C$4:$C$237,DATOS!$B$4:$B$237=I58))"),"TEUSAQUILLO")</f>
        <v>TEUSAQUILLO</v>
      </c>
      <c r="I58" s="35" t="s">
        <v>69</v>
      </c>
      <c r="J58" s="29" t="s">
        <v>18</v>
      </c>
      <c r="K58" s="30">
        <v>108959842</v>
      </c>
      <c r="L58" s="8"/>
    </row>
    <row r="59" spans="1:12" ht="15.75" customHeight="1">
      <c r="A59" s="214"/>
      <c r="B59" s="197"/>
      <c r="C59" s="197"/>
      <c r="D59" s="197"/>
      <c r="E59" s="197"/>
      <c r="F59" s="197"/>
      <c r="G59" s="26" t="str">
        <f ca="1">IFERROR(__xludf.DUMMYFUNCTION("IF(I59="""","""",FILTER(DATOS!$D$4:$D$237,DATOS!$B$4:$B$237=I59))"),"13-122")</f>
        <v>13-122</v>
      </c>
      <c r="H59" s="27" t="str">
        <f ca="1">IFERROR(__xludf.DUMMYFUNCTION("IF(I59="""","""",FILTER(DATOS!$C$4:$C$237,DATOS!$B$4:$B$237=I59))"),"TEUSAQUILLO")</f>
        <v>TEUSAQUILLO</v>
      </c>
      <c r="I59" s="39" t="s">
        <v>70</v>
      </c>
      <c r="J59" s="29" t="s">
        <v>18</v>
      </c>
      <c r="K59" s="30">
        <v>85628377</v>
      </c>
      <c r="L59" s="8"/>
    </row>
    <row r="60" spans="1:12" ht="15.75" customHeight="1">
      <c r="A60" s="214"/>
      <c r="B60" s="197"/>
      <c r="C60" s="197"/>
      <c r="D60" s="197"/>
      <c r="E60" s="197"/>
      <c r="F60" s="197"/>
      <c r="G60" s="26" t="str">
        <f ca="1">IFERROR(__xludf.DUMMYFUNCTION("IF(I60="""","""",FILTER(DATOS!$D$4:$D$237,DATOS!$B$4:$B$237=I60))"),"19-756")</f>
        <v>19-756</v>
      </c>
      <c r="H60" s="27" t="str">
        <f ca="1">IFERROR(__xludf.DUMMYFUNCTION("IF(I60="""","""",FILTER(DATOS!$C$4:$C$237,DATOS!$B$4:$B$237=I60))"),"CIUDAD BOLIVAR")</f>
        <v>CIUDAD BOLIVAR</v>
      </c>
      <c r="I60" s="37" t="s">
        <v>71</v>
      </c>
      <c r="J60" s="29" t="s">
        <v>18</v>
      </c>
      <c r="K60" s="30">
        <v>160135439</v>
      </c>
      <c r="L60" s="8"/>
    </row>
    <row r="61" spans="1:12" ht="15.75" customHeight="1">
      <c r="A61" s="214"/>
      <c r="B61" s="197"/>
      <c r="C61" s="197"/>
      <c r="D61" s="197"/>
      <c r="E61" s="197"/>
      <c r="F61" s="197"/>
      <c r="G61" s="26" t="str">
        <f ca="1">IFERROR(__xludf.DUMMYFUNCTION("IF(I61="""","""",FILTER(DATOS!$D$4:$D$237,DATOS!$B$4:$B$237=I61))"),"19-188")</f>
        <v>19-188</v>
      </c>
      <c r="H61" s="27" t="str">
        <f ca="1">IFERROR(__xludf.DUMMYFUNCTION("IF(I61="""","""",FILTER(DATOS!$C$4:$C$237,DATOS!$B$4:$B$237=I61))"),"CIUDAD BOLIVAR")</f>
        <v>CIUDAD BOLIVAR</v>
      </c>
      <c r="I61" s="37" t="s">
        <v>72</v>
      </c>
      <c r="J61" s="29" t="s">
        <v>18</v>
      </c>
      <c r="K61" s="30">
        <v>60787901</v>
      </c>
      <c r="L61" s="8"/>
    </row>
    <row r="62" spans="1:12" ht="26.25" customHeight="1">
      <c r="A62" s="214"/>
      <c r="B62" s="197"/>
      <c r="C62" s="197"/>
      <c r="D62" s="197"/>
      <c r="E62" s="197"/>
      <c r="F62" s="197"/>
      <c r="G62" s="26" t="str">
        <f ca="1">IFERROR(__xludf.DUMMYFUNCTION("IF(I62="""","""",FILTER(DATOS!$D$4:$D$237,DATOS!$B$4:$B$237=I62))"),"19-229")</f>
        <v>19-229</v>
      </c>
      <c r="H62" s="27" t="str">
        <f ca="1">IFERROR(__xludf.DUMMYFUNCTION("IF(I62="""","""",FILTER(DATOS!$C$4:$C$237,DATOS!$B$4:$B$237=I62))"),"CIUDAD BOLIVAR")</f>
        <v>CIUDAD BOLIVAR</v>
      </c>
      <c r="I62" s="37" t="s">
        <v>73</v>
      </c>
      <c r="J62" s="29" t="s">
        <v>18</v>
      </c>
      <c r="K62" s="30">
        <v>58600361</v>
      </c>
      <c r="L62" s="8"/>
    </row>
    <row r="63" spans="1:12" ht="15.75" customHeight="1">
      <c r="A63" s="214"/>
      <c r="B63" s="197"/>
      <c r="C63" s="197"/>
      <c r="D63" s="197"/>
      <c r="E63" s="197"/>
      <c r="F63" s="197"/>
      <c r="G63" s="26" t="str">
        <f ca="1">IFERROR(__xludf.DUMMYFUNCTION("IF(I63="""","""",FILTER(DATOS!$D$4:$D$237,DATOS!$B$4:$B$237=I63))"),"18-028")</f>
        <v>18-028</v>
      </c>
      <c r="H63" s="27" t="str">
        <f ca="1">IFERROR(__xludf.DUMMYFUNCTION("IF(I63="""","""",FILTER(DATOS!$C$4:$C$237,DATOS!$B$4:$B$237=I63))"),"RAFAEL URIBE")</f>
        <v>RAFAEL URIBE</v>
      </c>
      <c r="I63" s="37" t="s">
        <v>74</v>
      </c>
      <c r="J63" s="29" t="s">
        <v>18</v>
      </c>
      <c r="K63" s="30">
        <v>132541296</v>
      </c>
      <c r="L63" s="8"/>
    </row>
    <row r="64" spans="1:12" ht="15.75" customHeight="1">
      <c r="A64" s="214"/>
      <c r="B64" s="197"/>
      <c r="C64" s="197"/>
      <c r="D64" s="197"/>
      <c r="E64" s="197"/>
      <c r="F64" s="197"/>
      <c r="G64" s="26" t="str">
        <f ca="1">IFERROR(__xludf.DUMMYFUNCTION("IF(I64="""","""",FILTER(DATOS!$D$4:$D$237,DATOS!$B$4:$B$237=I64))"),"19-347")</f>
        <v>19-347</v>
      </c>
      <c r="H64" s="27" t="str">
        <f ca="1">IFERROR(__xludf.DUMMYFUNCTION("IF(I64="""","""",FILTER(DATOS!$C$4:$C$237,DATOS!$B$4:$B$237=I64))"),"CIUDAD BOLIVAR")</f>
        <v>CIUDAD BOLIVAR</v>
      </c>
      <c r="I64" s="37" t="s">
        <v>75</v>
      </c>
      <c r="J64" s="29" t="s">
        <v>18</v>
      </c>
      <c r="K64" s="30">
        <v>105263291</v>
      </c>
      <c r="L64" s="8"/>
    </row>
    <row r="65" spans="1:12" ht="15.75" customHeight="1">
      <c r="A65" s="214"/>
      <c r="B65" s="197"/>
      <c r="C65" s="197"/>
      <c r="D65" s="197"/>
      <c r="E65" s="197"/>
      <c r="F65" s="197"/>
      <c r="G65" s="26" t="str">
        <f ca="1">IFERROR(__xludf.DUMMYFUNCTION("IF(I65="""","""",FILTER(DATOS!$D$4:$D$237,DATOS!$B$4:$B$237=I65))"),"19-189")</f>
        <v>19-189</v>
      </c>
      <c r="H65" s="27" t="str">
        <f ca="1">IFERROR(__xludf.DUMMYFUNCTION("IF(I65="""","""",FILTER(DATOS!$C$4:$C$237,DATOS!$B$4:$B$237=I65))"),"CIUDAD BOLIVAR")</f>
        <v>CIUDAD BOLIVAR</v>
      </c>
      <c r="I65" s="37" t="s">
        <v>76</v>
      </c>
      <c r="J65" s="29" t="s">
        <v>18</v>
      </c>
      <c r="K65" s="30">
        <v>78005934</v>
      </c>
      <c r="L65" s="8"/>
    </row>
    <row r="66" spans="1:12" ht="15.75" customHeight="1">
      <c r="A66" s="214"/>
      <c r="B66" s="197"/>
      <c r="C66" s="197"/>
      <c r="D66" s="197"/>
      <c r="E66" s="197"/>
      <c r="F66" s="197"/>
      <c r="G66" s="26" t="str">
        <f ca="1">IFERROR(__xludf.DUMMYFUNCTION("IF(I66="""","""",FILTER(DATOS!$D$4:$D$237,DATOS!$B$4:$B$237=I66))"),"08-200")</f>
        <v>08-200</v>
      </c>
      <c r="H66" s="27" t="str">
        <f ca="1">IFERROR(__xludf.DUMMYFUNCTION("IF(I66="""","""",FILTER(DATOS!$C$4:$C$237,DATOS!$B$4:$B$237=I66))"),"KENNEDY")</f>
        <v>KENNEDY</v>
      </c>
      <c r="I66" s="37" t="s">
        <v>77</v>
      </c>
      <c r="J66" s="29" t="s">
        <v>18</v>
      </c>
      <c r="K66" s="30">
        <v>60400979</v>
      </c>
      <c r="L66" s="8"/>
    </row>
    <row r="67" spans="1:12" ht="15.75" customHeight="1">
      <c r="A67" s="214"/>
      <c r="B67" s="197"/>
      <c r="C67" s="197"/>
      <c r="D67" s="197"/>
      <c r="E67" s="197"/>
      <c r="F67" s="197"/>
      <c r="G67" s="26" t="str">
        <f ca="1">IFERROR(__xludf.DUMMYFUNCTION("IF(I67="""","""",FILTER(DATOS!$D$4:$D$237,DATOS!$B$4:$B$237=I67))"),"08-241")</f>
        <v>08-241</v>
      </c>
      <c r="H67" s="27" t="str">
        <f ca="1">IFERROR(__xludf.DUMMYFUNCTION("IF(I67="""","""",FILTER(DATOS!$C$4:$C$237,DATOS!$B$4:$B$237=I67))"),"KENNEDY")</f>
        <v>KENNEDY</v>
      </c>
      <c r="I67" s="37" t="s">
        <v>78</v>
      </c>
      <c r="J67" s="29" t="s">
        <v>18</v>
      </c>
      <c r="K67" s="30">
        <v>283260764</v>
      </c>
      <c r="L67" s="8"/>
    </row>
    <row r="68" spans="1:12" ht="15.75" customHeight="1">
      <c r="A68" s="214"/>
      <c r="B68" s="197"/>
      <c r="C68" s="197"/>
      <c r="D68" s="197"/>
      <c r="E68" s="197"/>
      <c r="F68" s="197"/>
      <c r="G68" s="26" t="str">
        <f ca="1">IFERROR(__xludf.DUMMYFUNCTION("IF(I68="""","""",FILTER(DATOS!$D$4:$D$237,DATOS!$B$4:$B$237=I68))"),"16-112")</f>
        <v>16-112</v>
      </c>
      <c r="H68" s="27" t="str">
        <f ca="1">IFERROR(__xludf.DUMMYFUNCTION("IF(I68="""","""",FILTER(DATOS!$C$4:$C$237,DATOS!$B$4:$B$237=I68))"),"PUENTE ARANDA")</f>
        <v>PUENTE ARANDA</v>
      </c>
      <c r="I68" s="37" t="s">
        <v>79</v>
      </c>
      <c r="J68" s="29" t="s">
        <v>18</v>
      </c>
      <c r="K68" s="30">
        <v>131826921</v>
      </c>
      <c r="L68" s="8"/>
    </row>
    <row r="69" spans="1:12" ht="15.75" customHeight="1">
      <c r="A69" s="214"/>
      <c r="B69" s="197"/>
      <c r="C69" s="197"/>
      <c r="D69" s="197"/>
      <c r="E69" s="197"/>
      <c r="F69" s="197"/>
      <c r="G69" s="26" t="str">
        <f ca="1">IFERROR(__xludf.DUMMYFUNCTION("IF(I69="""","""",FILTER(DATOS!$D$4:$D$237,DATOS!$B$4:$B$237=I69))"),"07-163")</f>
        <v>07-163</v>
      </c>
      <c r="H69" s="27" t="str">
        <f ca="1">IFERROR(__xludf.DUMMYFUNCTION("IF(I69="""","""",FILTER(DATOS!$C$4:$C$237,DATOS!$B$4:$B$237=I69))"),"BOSA")</f>
        <v>BOSA</v>
      </c>
      <c r="I69" s="28" t="s">
        <v>80</v>
      </c>
      <c r="J69" s="29" t="s">
        <v>18</v>
      </c>
      <c r="K69" s="30">
        <v>61889198</v>
      </c>
      <c r="L69" s="8"/>
    </row>
    <row r="70" spans="1:12" ht="15.75" customHeight="1">
      <c r="A70" s="214"/>
      <c r="B70" s="197"/>
      <c r="C70" s="197"/>
      <c r="D70" s="197"/>
      <c r="E70" s="197"/>
      <c r="F70" s="197"/>
      <c r="G70" s="26" t="str">
        <f ca="1">IFERROR(__xludf.DUMMYFUNCTION("IF(I70="""","""",FILTER(DATOS!$D$4:$D$237,DATOS!$B$4:$B$237=I70))"),"08-144")</f>
        <v>08-144</v>
      </c>
      <c r="H70" s="27" t="str">
        <f ca="1">IFERROR(__xludf.DUMMYFUNCTION("IF(I70="""","""",FILTER(DATOS!$C$4:$C$237,DATOS!$B$4:$B$237=I70))"),"KENNEDY")</f>
        <v>KENNEDY</v>
      </c>
      <c r="I70" s="37" t="s">
        <v>81</v>
      </c>
      <c r="J70" s="29" t="s">
        <v>18</v>
      </c>
      <c r="K70" s="30">
        <v>61889198</v>
      </c>
      <c r="L70" s="8"/>
    </row>
    <row r="71" spans="1:12" ht="15.75" customHeight="1">
      <c r="A71" s="214"/>
      <c r="B71" s="197"/>
      <c r="C71" s="197"/>
      <c r="D71" s="197"/>
      <c r="E71" s="197"/>
      <c r="F71" s="197"/>
      <c r="G71" s="26" t="str">
        <f ca="1">IFERROR(__xludf.DUMMYFUNCTION("IF(I71="""","""",FILTER(DATOS!$D$4:$D$237,DATOS!$B$4:$B$237=I71))"),"14-030")</f>
        <v>14-030</v>
      </c>
      <c r="H71" s="27" t="str">
        <f ca="1">IFERROR(__xludf.DUMMYFUNCTION("IF(I71="""","""",FILTER(DATOS!$C$4:$C$237,DATOS!$B$4:$B$237=I71))"),"MARTIRES")</f>
        <v>MARTIRES</v>
      </c>
      <c r="I71" s="37" t="s">
        <v>82</v>
      </c>
      <c r="J71" s="29" t="s">
        <v>18</v>
      </c>
      <c r="K71" s="30">
        <v>58600361</v>
      </c>
      <c r="L71" s="8"/>
    </row>
    <row r="72" spans="1:12" ht="15.75" customHeight="1">
      <c r="A72" s="214"/>
      <c r="B72" s="197"/>
      <c r="C72" s="197"/>
      <c r="D72" s="197"/>
      <c r="E72" s="197"/>
      <c r="F72" s="197"/>
      <c r="G72" s="26" t="str">
        <f ca="1">IFERROR(__xludf.DUMMYFUNCTION("IF(I72="""","""",FILTER(DATOS!$D$4:$D$237,DATOS!$B$4:$B$237=I72))"),"16-204")</f>
        <v>16-204</v>
      </c>
      <c r="H72" s="27" t="str">
        <f ca="1">IFERROR(__xludf.DUMMYFUNCTION("IF(I72="""","""",FILTER(DATOS!$C$4:$C$237,DATOS!$B$4:$B$237=I72))"),"PUENTE ARANDA")</f>
        <v>PUENTE ARANDA</v>
      </c>
      <c r="I72" s="37" t="s">
        <v>83</v>
      </c>
      <c r="J72" s="29" t="s">
        <v>18</v>
      </c>
      <c r="K72" s="30">
        <v>78005934</v>
      </c>
      <c r="L72" s="8"/>
    </row>
    <row r="73" spans="1:12" ht="15.75" customHeight="1">
      <c r="A73" s="214"/>
      <c r="B73" s="197"/>
      <c r="C73" s="197"/>
      <c r="D73" s="197"/>
      <c r="E73" s="197"/>
      <c r="F73" s="197"/>
      <c r="G73" s="26" t="str">
        <f ca="1">IFERROR(__xludf.DUMMYFUNCTION("IF(I73="""","""",FILTER(DATOS!$D$4:$D$237,DATOS!$B$4:$B$237=I73))"),"07-260")</f>
        <v>07-260</v>
      </c>
      <c r="H73" s="27" t="str">
        <f ca="1">IFERROR(__xludf.DUMMYFUNCTION("IF(I73="""","""",FILTER(DATOS!$C$4:$C$237,DATOS!$B$4:$B$237=I73))"),"BOSA")</f>
        <v>BOSA</v>
      </c>
      <c r="I73" s="28" t="s">
        <v>84</v>
      </c>
      <c r="J73" s="29" t="s">
        <v>18</v>
      </c>
      <c r="K73" s="30">
        <v>103775072</v>
      </c>
      <c r="L73" s="8"/>
    </row>
    <row r="74" spans="1:12" ht="15.75" customHeight="1">
      <c r="A74" s="214"/>
      <c r="B74" s="197"/>
      <c r="C74" s="197"/>
      <c r="D74" s="197"/>
      <c r="E74" s="197"/>
      <c r="F74" s="197"/>
      <c r="G74" s="26" t="str">
        <f ca="1">IFERROR(__xludf.DUMMYFUNCTION("IF(I74="""","""",FILTER(DATOS!$D$4:$D$237,DATOS!$B$4:$B$237=I74))"),"07-164")</f>
        <v>07-164</v>
      </c>
      <c r="H74" s="27" t="str">
        <f ca="1">IFERROR(__xludf.DUMMYFUNCTION("IF(I74="""","""",FILTER(DATOS!$C$4:$C$237,DATOS!$B$4:$B$237=I74))"),"BOSA")</f>
        <v>BOSA</v>
      </c>
      <c r="I74" s="28" t="s">
        <v>85</v>
      </c>
      <c r="J74" s="29" t="s">
        <v>18</v>
      </c>
      <c r="K74" s="30">
        <v>58600361</v>
      </c>
      <c r="L74" s="8"/>
    </row>
    <row r="75" spans="1:12" ht="15.75" customHeight="1">
      <c r="A75" s="214"/>
      <c r="B75" s="197"/>
      <c r="C75" s="197"/>
      <c r="D75" s="197"/>
      <c r="E75" s="197"/>
      <c r="F75" s="197"/>
      <c r="G75" s="26" t="str">
        <f ca="1">IFERROR(__xludf.DUMMYFUNCTION("IF(I75="""","""",FILTER(DATOS!$D$4:$D$237,DATOS!$B$4:$B$237=I75))"),"08-109")</f>
        <v>08-109</v>
      </c>
      <c r="H75" s="27" t="str">
        <f ca="1">IFERROR(__xludf.DUMMYFUNCTION("IF(I75="""","""",FILTER(DATOS!$C$4:$C$237,DATOS!$B$4:$B$237=I75))"),"KENNEDY")</f>
        <v>KENNEDY</v>
      </c>
      <c r="I75" s="37" t="s">
        <v>86</v>
      </c>
      <c r="J75" s="29" t="s">
        <v>18</v>
      </c>
      <c r="K75" s="30">
        <v>57112142</v>
      </c>
      <c r="L75" s="8"/>
    </row>
    <row r="76" spans="1:12" ht="15.75" customHeight="1">
      <c r="A76" s="214"/>
      <c r="B76" s="197"/>
      <c r="C76" s="197"/>
      <c r="D76" s="197"/>
      <c r="E76" s="197"/>
      <c r="F76" s="197"/>
      <c r="G76" s="26" t="str">
        <f ca="1">IFERROR(__xludf.DUMMYFUNCTION("IF(I76="""","""",FILTER(DATOS!$D$4:$D$237,DATOS!$B$4:$B$237=I76))"),"06-063")</f>
        <v>06-063</v>
      </c>
      <c r="H76" s="27" t="str">
        <f ca="1">IFERROR(__xludf.DUMMYFUNCTION("IF(I76="""","""",FILTER(DATOS!$C$4:$C$237,DATOS!$B$4:$B$237=I76))"),"TUNJUELITO")</f>
        <v>TUNJUELITO</v>
      </c>
      <c r="I76" s="37" t="s">
        <v>87</v>
      </c>
      <c r="J76" s="29" t="s">
        <v>18</v>
      </c>
      <c r="K76" s="30">
        <v>399474495</v>
      </c>
      <c r="L76" s="8"/>
    </row>
    <row r="77" spans="1:12" ht="15.75" customHeight="1">
      <c r="A77" s="214"/>
      <c r="B77" s="197"/>
      <c r="C77" s="197"/>
      <c r="D77" s="197"/>
      <c r="E77" s="197"/>
      <c r="F77" s="197"/>
      <c r="G77" s="26" t="str">
        <f ca="1">IFERROR(__xludf.DUMMYFUNCTION("IF(I77="""","""",FILTER(DATOS!$D$4:$D$237,DATOS!$B$4:$B$237=I77))"),"06-063")</f>
        <v>06-063</v>
      </c>
      <c r="H77" s="27" t="str">
        <f ca="1">IFERROR(__xludf.DUMMYFUNCTION("IF(I77="""","""",FILTER(DATOS!$C$4:$C$237,DATOS!$B$4:$B$237=I77))"),"TUNJUELITO")</f>
        <v>TUNJUELITO</v>
      </c>
      <c r="I77" s="37" t="s">
        <v>88</v>
      </c>
      <c r="J77" s="29" t="s">
        <v>18</v>
      </c>
      <c r="K77" s="30">
        <v>264474556</v>
      </c>
      <c r="L77" s="8"/>
    </row>
    <row r="78" spans="1:12" ht="15.75" customHeight="1">
      <c r="A78" s="214"/>
      <c r="B78" s="197"/>
      <c r="C78" s="197"/>
      <c r="D78" s="197"/>
      <c r="E78" s="197"/>
      <c r="F78" s="197"/>
      <c r="G78" s="26" t="str">
        <f ca="1">IFERROR(__xludf.DUMMYFUNCTION("IF(I78="""","""",FILTER(DATOS!$D$4:$D$237,DATOS!$B$4:$B$237=I78))"),"05-016")</f>
        <v>05-016</v>
      </c>
      <c r="H78" s="27" t="str">
        <f ca="1">IFERROR(__xludf.DUMMYFUNCTION("IF(I78="""","""",FILTER(DATOS!$C$4:$C$237,DATOS!$B$4:$B$237=I78))"),"USME")</f>
        <v>USME</v>
      </c>
      <c r="I78" s="40" t="s">
        <v>89</v>
      </c>
      <c r="J78" s="29" t="s">
        <v>18</v>
      </c>
      <c r="K78" s="30">
        <v>105263291</v>
      </c>
      <c r="L78" s="8"/>
    </row>
    <row r="79" spans="1:12" ht="15.75" customHeight="1">
      <c r="A79" s="214"/>
      <c r="B79" s="197"/>
      <c r="C79" s="197"/>
      <c r="D79" s="197"/>
      <c r="E79" s="197"/>
      <c r="F79" s="197"/>
      <c r="G79" s="26" t="str">
        <f ca="1">IFERROR(__xludf.DUMMYFUNCTION("IF(I79="""","""",FILTER(DATOS!$D$4:$D$237,DATOS!$B$4:$B$237=I79))"),"08-554")</f>
        <v>08-554</v>
      </c>
      <c r="H79" s="27" t="str">
        <f ca="1">IFERROR(__xludf.DUMMYFUNCTION("IF(I79="""","""",FILTER(DATOS!$C$4:$C$237,DATOS!$B$4:$B$237=I79))"),"KENNEDY")</f>
        <v>KENNEDY</v>
      </c>
      <c r="I79" s="37" t="s">
        <v>90</v>
      </c>
      <c r="J79" s="29" t="s">
        <v>18</v>
      </c>
      <c r="K79" s="30">
        <v>103775072</v>
      </c>
      <c r="L79" s="8"/>
    </row>
    <row r="80" spans="1:12" ht="15.75" customHeight="1">
      <c r="A80" s="214"/>
      <c r="B80" s="197"/>
      <c r="C80" s="197"/>
      <c r="D80" s="197"/>
      <c r="E80" s="197"/>
      <c r="F80" s="197"/>
      <c r="G80" s="26" t="str">
        <f ca="1">IFERROR(__xludf.DUMMYFUNCTION("IF(I80="""","""",FILTER(DATOS!$D$4:$D$237,DATOS!$B$4:$B$237=I80))"),"16-024")</f>
        <v>16-024</v>
      </c>
      <c r="H80" s="27" t="str">
        <f ca="1">IFERROR(__xludf.DUMMYFUNCTION("IF(I80="""","""",FILTER(DATOS!$C$4:$C$237,DATOS!$B$4:$B$237=I80))"),"PUENTE ARANDA")</f>
        <v>PUENTE ARANDA</v>
      </c>
      <c r="I80" s="37" t="s">
        <v>91</v>
      </c>
      <c r="J80" s="29" t="s">
        <v>18</v>
      </c>
      <c r="K80" s="30">
        <v>57112142</v>
      </c>
      <c r="L80" s="8"/>
    </row>
    <row r="81" spans="1:12" ht="15.75" customHeight="1">
      <c r="A81" s="214"/>
      <c r="B81" s="197"/>
      <c r="C81" s="197"/>
      <c r="D81" s="197"/>
      <c r="E81" s="197"/>
      <c r="F81" s="197"/>
      <c r="G81" s="26" t="str">
        <f ca="1">IFERROR(__xludf.DUMMYFUNCTION("IF(I81="""","""",FILTER(DATOS!$D$4:$D$237,DATOS!$B$4:$B$237=I81))"),"07-152")</f>
        <v>07-152</v>
      </c>
      <c r="H81" s="27" t="str">
        <f ca="1">IFERROR(__xludf.DUMMYFUNCTION("IF(I81="""","""",FILTER(DATOS!$C$4:$C$237,DATOS!$B$4:$B$237=I81))"),"BOSA")</f>
        <v>BOSA</v>
      </c>
      <c r="I81" s="40" t="s">
        <v>92</v>
      </c>
      <c r="J81" s="29" t="s">
        <v>18</v>
      </c>
      <c r="K81" s="30">
        <v>79494153</v>
      </c>
      <c r="L81" s="8"/>
    </row>
    <row r="82" spans="1:12">
      <c r="A82" s="214"/>
      <c r="B82" s="197"/>
      <c r="C82" s="197"/>
      <c r="D82" s="197"/>
      <c r="E82" s="197"/>
      <c r="F82" s="197"/>
      <c r="G82" s="26" t="str">
        <f ca="1">IFERROR(__xludf.DUMMYFUNCTION("IF(I82="""","""",FILTER(DATOS!$D$4:$D$237,DATOS!$B$4:$B$237=I82))"),"18-207")</f>
        <v>18-207</v>
      </c>
      <c r="H82" s="27" t="str">
        <f ca="1">IFERROR(__xludf.DUMMYFUNCTION("IF(I82="""","""",FILTER(DATOS!$C$4:$C$237,DATOS!$B$4:$B$237=I82))"),"RAFAEL URIBE")</f>
        <v>RAFAEL URIBE</v>
      </c>
      <c r="I82" s="37" t="s">
        <v>93</v>
      </c>
      <c r="J82" s="29" t="s">
        <v>18</v>
      </c>
      <c r="K82" s="30">
        <v>156930423</v>
      </c>
      <c r="L82" s="8"/>
    </row>
    <row r="83" spans="1:12" ht="15.75" customHeight="1">
      <c r="A83" s="214"/>
      <c r="B83" s="197"/>
      <c r="C83" s="197"/>
      <c r="D83" s="197"/>
      <c r="E83" s="197"/>
      <c r="F83" s="197"/>
      <c r="G83" s="26" t="str">
        <f ca="1">IFERROR(__xludf.DUMMYFUNCTION("IF(I83="""","""",FILTER(DATOS!$D$4:$D$237,DATOS!$B$4:$B$237=I83))"),"18-090")</f>
        <v>18-090</v>
      </c>
      <c r="H83" s="27" t="str">
        <f ca="1">IFERROR(__xludf.DUMMYFUNCTION("IF(I83="""","""",FILTER(DATOS!$C$4:$C$237,DATOS!$B$4:$B$237=I83))"),"RAFAEL URIBE")</f>
        <v>RAFAEL URIBE</v>
      </c>
      <c r="I83" s="37" t="s">
        <v>94</v>
      </c>
      <c r="J83" s="29" t="s">
        <v>18</v>
      </c>
      <c r="K83" s="30">
        <v>57112142</v>
      </c>
      <c r="L83" s="8"/>
    </row>
    <row r="84" spans="1:12" ht="15.75" customHeight="1">
      <c r="A84" s="214"/>
      <c r="B84" s="197"/>
      <c r="C84" s="197"/>
      <c r="D84" s="197"/>
      <c r="E84" s="197"/>
      <c r="F84" s="197"/>
      <c r="G84" s="26" t="str">
        <f ca="1">IFERROR(__xludf.DUMMYFUNCTION("IF(I84="""","""",FILTER(DATOS!$D$4:$D$237,DATOS!$B$4:$B$237=I84))"),"04-103")</f>
        <v>04-103</v>
      </c>
      <c r="H84" s="27" t="str">
        <f ca="1">IFERROR(__xludf.DUMMYFUNCTION("IF(I84="""","""",FILTER(DATOS!$C$4:$C$237,DATOS!$B$4:$B$237=I84))"),"SAN CRISTOBAL")</f>
        <v>SAN CRISTOBAL</v>
      </c>
      <c r="I84" s="41" t="s">
        <v>95</v>
      </c>
      <c r="J84" s="29" t="s">
        <v>18</v>
      </c>
      <c r="K84" s="30">
        <v>129445920</v>
      </c>
      <c r="L84" s="8"/>
    </row>
    <row r="85" spans="1:12" ht="15.75" customHeight="1">
      <c r="A85" s="214"/>
      <c r="B85" s="197"/>
      <c r="C85" s="197"/>
      <c r="D85" s="197"/>
      <c r="E85" s="197"/>
      <c r="F85" s="197"/>
      <c r="G85" s="26" t="str">
        <f ca="1">IFERROR(__xludf.DUMMYFUNCTION("IF(I85="""","""",FILTER(DATOS!$D$4:$D$237,DATOS!$B$4:$B$237=I85))"),"08-110")</f>
        <v>08-110</v>
      </c>
      <c r="H85" s="27" t="str">
        <f ca="1">IFERROR(__xludf.DUMMYFUNCTION("IF(I85="""","""",FILTER(DATOS!$C$4:$C$237,DATOS!$B$4:$B$237=I85))"),"KENNEDY")</f>
        <v>KENNEDY</v>
      </c>
      <c r="I85" s="37" t="s">
        <v>96</v>
      </c>
      <c r="J85" s="29" t="s">
        <v>18</v>
      </c>
      <c r="K85" s="30">
        <v>103775072</v>
      </c>
      <c r="L85" s="8"/>
    </row>
    <row r="86" spans="1:12">
      <c r="A86" s="214"/>
      <c r="B86" s="197"/>
      <c r="C86" s="197"/>
      <c r="D86" s="197"/>
      <c r="E86" s="197"/>
      <c r="F86" s="197"/>
      <c r="G86" s="26" t="str">
        <f ca="1">IFERROR(__xludf.DUMMYFUNCTION("IF(I86="""","""",FILTER(DATOS!$D$4:$D$237,DATOS!$B$4:$B$237=I86))"),"08-552")</f>
        <v>08-552</v>
      </c>
      <c r="H86" s="27" t="str">
        <f ca="1">IFERROR(__xludf.DUMMYFUNCTION("IF(I86="""","""",FILTER(DATOS!$C$4:$C$237,DATOS!$B$4:$B$237=I86))"),"KENNEDY")</f>
        <v>KENNEDY</v>
      </c>
      <c r="I86" s="37" t="s">
        <v>97</v>
      </c>
      <c r="J86" s="29" t="s">
        <v>18</v>
      </c>
      <c r="K86" s="30">
        <v>282448100</v>
      </c>
      <c r="L86" s="8"/>
    </row>
    <row r="87" spans="1:12" ht="15.75" customHeight="1">
      <c r="A87" s="214"/>
      <c r="B87" s="197"/>
      <c r="C87" s="197"/>
      <c r="D87" s="197"/>
      <c r="E87" s="197"/>
      <c r="F87" s="197"/>
      <c r="G87" s="26" t="str">
        <f ca="1">IFERROR(__xludf.DUMMYFUNCTION("IF(I87="""","""",FILTER(DATOS!$D$4:$D$237,DATOS!$B$4:$B$237=I87))"),"18-452")</f>
        <v>18-452</v>
      </c>
      <c r="H87" s="27" t="str">
        <f ca="1">IFERROR(__xludf.DUMMYFUNCTION("IF(I87="""","""",FILTER(DATOS!$C$4:$C$237,DATOS!$B$4:$B$237=I87))"),"RAFAEL URIBE")</f>
        <v>RAFAEL URIBE</v>
      </c>
      <c r="I87" s="37" t="s">
        <v>98</v>
      </c>
      <c r="J87" s="29" t="s">
        <v>18</v>
      </c>
      <c r="K87" s="30">
        <v>57112142</v>
      </c>
      <c r="L87" s="8"/>
    </row>
    <row r="88" spans="1:12" ht="15.75" customHeight="1">
      <c r="A88" s="214"/>
      <c r="B88" s="197"/>
      <c r="C88" s="197"/>
      <c r="D88" s="197"/>
      <c r="E88" s="197"/>
      <c r="F88" s="197"/>
      <c r="G88" s="26" t="str">
        <f ca="1">IFERROR(__xludf.DUMMYFUNCTION("IF(I88="""","""",FILTER(DATOS!$D$4:$D$237,DATOS!$B$4:$B$237=I88))"),"19-346")</f>
        <v>19-346</v>
      </c>
      <c r="H88" s="27" t="str">
        <f ca="1">IFERROR(__xludf.DUMMYFUNCTION("IF(I88="""","""",FILTER(DATOS!$C$4:$C$237,DATOS!$B$4:$B$237=I88))"),"CIUDAD BOLIVAR")</f>
        <v>CIUDAD BOLIVAR</v>
      </c>
      <c r="I88" s="37" t="s">
        <v>99</v>
      </c>
      <c r="J88" s="29" t="s">
        <v>18</v>
      </c>
      <c r="K88" s="30">
        <v>105263291</v>
      </c>
      <c r="L88" s="8"/>
    </row>
    <row r="89" spans="1:12" ht="15.75" customHeight="1">
      <c r="A89" s="214"/>
      <c r="B89" s="197"/>
      <c r="C89" s="197"/>
      <c r="D89" s="197"/>
      <c r="E89" s="197"/>
      <c r="F89" s="197"/>
      <c r="G89" s="26" t="str">
        <f ca="1">IFERROR(__xludf.DUMMYFUNCTION("IF(I89="""","""",FILTER(DATOS!$D$4:$D$237,DATOS!$B$4:$B$237=I89))"),"08-355")</f>
        <v>08-355</v>
      </c>
      <c r="H89" s="27" t="str">
        <f ca="1">IFERROR(__xludf.DUMMYFUNCTION("IF(I89="""","""",FILTER(DATOS!$C$4:$C$237,DATOS!$B$4:$B$237=I89))"),"KENNEDY")</f>
        <v>KENNEDY</v>
      </c>
      <c r="I89" s="37" t="s">
        <v>100</v>
      </c>
      <c r="J89" s="29" t="s">
        <v>18</v>
      </c>
      <c r="K89" s="30">
        <v>57112142</v>
      </c>
      <c r="L89" s="8"/>
    </row>
    <row r="90" spans="1:12" ht="15.75" customHeight="1">
      <c r="A90" s="214"/>
      <c r="B90" s="197"/>
      <c r="C90" s="197"/>
      <c r="D90" s="197"/>
      <c r="E90" s="197"/>
      <c r="F90" s="197"/>
      <c r="G90" s="26" t="str">
        <f ca="1">IFERROR(__xludf.DUMMYFUNCTION("IF(I90="""","""",FILTER(DATOS!$D$4:$D$237,DATOS!$B$4:$B$237=I90))"),"05-004")</f>
        <v>05-004</v>
      </c>
      <c r="H90" s="27" t="str">
        <f ca="1">IFERROR(__xludf.DUMMYFUNCTION("IF(I90="""","""",FILTER(DATOS!$C$4:$C$237,DATOS!$B$4:$B$237=I90))"),"USME")</f>
        <v>USME</v>
      </c>
      <c r="I90" s="28" t="s">
        <v>101</v>
      </c>
      <c r="J90" s="29" t="s">
        <v>18</v>
      </c>
      <c r="K90" s="30">
        <v>57112142</v>
      </c>
      <c r="L90" s="8"/>
    </row>
    <row r="91" spans="1:12" ht="15.75" customHeight="1">
      <c r="A91" s="214"/>
      <c r="B91" s="197"/>
      <c r="C91" s="197"/>
      <c r="D91" s="197"/>
      <c r="E91" s="197"/>
      <c r="F91" s="197"/>
      <c r="G91" s="26" t="str">
        <f ca="1">IFERROR(__xludf.DUMMYFUNCTION("IF(I91="""","""",FILTER(DATOS!$D$4:$D$237,DATOS!$B$4:$B$237=I91))"),"05-002")</f>
        <v>05-002</v>
      </c>
      <c r="H91" s="27" t="str">
        <f ca="1">IFERROR(__xludf.DUMMYFUNCTION("IF(I91="""","""",FILTER(DATOS!$C$4:$C$237,DATOS!$B$4:$B$237=I91))"),"USME")</f>
        <v>USME</v>
      </c>
      <c r="I91" s="28" t="s">
        <v>102</v>
      </c>
      <c r="J91" s="29" t="s">
        <v>18</v>
      </c>
      <c r="K91" s="30">
        <v>57112142</v>
      </c>
      <c r="L91" s="8"/>
    </row>
    <row r="92" spans="1:12" ht="15.75" customHeight="1">
      <c r="A92" s="214"/>
      <c r="B92" s="197"/>
      <c r="C92" s="197"/>
      <c r="D92" s="197"/>
      <c r="E92" s="197"/>
      <c r="F92" s="197"/>
      <c r="G92" s="26" t="str">
        <f ca="1">IFERROR(__xludf.DUMMYFUNCTION("IF(I92="""","""",FILTER(DATOS!$D$4:$D$237,DATOS!$B$4:$B$237=I92))"),"07-273")</f>
        <v>07-273</v>
      </c>
      <c r="H92" s="27" t="str">
        <f ca="1">IFERROR(__xludf.DUMMYFUNCTION("IF(I92="""","""",FILTER(DATOS!$C$4:$C$237,DATOS!$B$4:$B$237=I92))"),"BOSA")</f>
        <v>BOSA</v>
      </c>
      <c r="I92" s="28" t="s">
        <v>103</v>
      </c>
      <c r="J92" s="29" t="s">
        <v>18</v>
      </c>
      <c r="K92" s="30">
        <v>65371496</v>
      </c>
      <c r="L92" s="8"/>
    </row>
    <row r="93" spans="1:12" ht="15.75" customHeight="1">
      <c r="A93" s="214"/>
      <c r="B93" s="197"/>
      <c r="C93" s="197"/>
      <c r="D93" s="197"/>
      <c r="E93" s="197"/>
      <c r="F93" s="197"/>
      <c r="G93" s="26" t="str">
        <f ca="1">IFERROR(__xludf.DUMMYFUNCTION("IF(I93="""","""",FILTER(DATOS!$D$4:$D$237,DATOS!$B$4:$B$237=I93))"),"19-231")</f>
        <v>19-231</v>
      </c>
      <c r="H93" s="27" t="str">
        <f ca="1">IFERROR(__xludf.DUMMYFUNCTION("IF(I93="""","""",FILTER(DATOS!$C$4:$C$237,DATOS!$B$4:$B$237=I93))"),"CIUDAD BOLIVAR")</f>
        <v>CIUDAD BOLIVAR</v>
      </c>
      <c r="I93" s="37" t="s">
        <v>104</v>
      </c>
      <c r="J93" s="29" t="s">
        <v>18</v>
      </c>
      <c r="K93" s="30">
        <v>60400979</v>
      </c>
      <c r="L93" s="8"/>
    </row>
    <row r="94" spans="1:12" ht="15.75" customHeight="1">
      <c r="A94" s="214"/>
      <c r="B94" s="197"/>
      <c r="C94" s="197"/>
      <c r="D94" s="197"/>
      <c r="E94" s="197"/>
      <c r="F94" s="197"/>
      <c r="G94" s="26" t="str">
        <f ca="1">IFERROR(__xludf.DUMMYFUNCTION("IF(I94="""","""",FILTER(DATOS!$D$4:$D$237,DATOS!$B$4:$B$237=I94))"),"15-040")</f>
        <v>15-040</v>
      </c>
      <c r="H94" s="27" t="str">
        <f ca="1">IFERROR(__xludf.DUMMYFUNCTION("IF(I94="""","""",FILTER(DATOS!$C$4:$C$237,DATOS!$B$4:$B$237=I94))"),"ANTONIO NARIÑO")</f>
        <v>ANTONIO NARIÑO</v>
      </c>
      <c r="I94" s="37" t="s">
        <v>105</v>
      </c>
      <c r="J94" s="29" t="s">
        <v>18</v>
      </c>
      <c r="K94" s="30">
        <v>82881277</v>
      </c>
      <c r="L94" s="8"/>
    </row>
    <row r="95" spans="1:12" ht="15.75" customHeight="1">
      <c r="A95" s="214"/>
      <c r="B95" s="197"/>
      <c r="C95" s="197"/>
      <c r="D95" s="197"/>
      <c r="E95" s="197"/>
      <c r="F95" s="197"/>
      <c r="G95" s="26" t="str">
        <f ca="1">IFERROR(__xludf.DUMMYFUNCTION("IF(I95="""","""",FILTER(DATOS!$D$4:$D$237,DATOS!$B$4:$B$237=I95))"),"08-212")</f>
        <v>08-212</v>
      </c>
      <c r="H95" s="27" t="str">
        <f ca="1">IFERROR(__xludf.DUMMYFUNCTION("IF(I95="""","""",FILTER(DATOS!$C$4:$C$237,DATOS!$B$4:$B$237=I95))"),"KENNEDY")</f>
        <v>KENNEDY</v>
      </c>
      <c r="I95" s="37" t="s">
        <v>106</v>
      </c>
      <c r="J95" s="29" t="s">
        <v>18</v>
      </c>
      <c r="K95" s="30">
        <v>105263291</v>
      </c>
      <c r="L95" s="8"/>
    </row>
    <row r="96" spans="1:12" ht="15.75" customHeight="1">
      <c r="A96" s="214"/>
      <c r="B96" s="197"/>
      <c r="C96" s="197"/>
      <c r="D96" s="197"/>
      <c r="E96" s="197"/>
      <c r="F96" s="197"/>
      <c r="G96" s="26" t="str">
        <f ca="1">IFERROR(__xludf.DUMMYFUNCTION("IF(I96="""","""",FILTER(DATOS!$D$4:$D$237,DATOS!$B$4:$B$237=I96))"),"07-165")</f>
        <v>07-165</v>
      </c>
      <c r="H96" s="27" t="str">
        <f ca="1">IFERROR(__xludf.DUMMYFUNCTION("IF(I96="""","""",FILTER(DATOS!$C$4:$C$237,DATOS!$B$4:$B$237=I96))"),"BOSA")</f>
        <v>BOSA</v>
      </c>
      <c r="I96" s="28" t="s">
        <v>107</v>
      </c>
      <c r="J96" s="29" t="s">
        <v>18</v>
      </c>
      <c r="K96" s="30">
        <v>57112142</v>
      </c>
      <c r="L96" s="8"/>
    </row>
    <row r="97" spans="1:12" ht="15.75" customHeight="1">
      <c r="A97" s="214"/>
      <c r="B97" s="197"/>
      <c r="C97" s="197"/>
      <c r="D97" s="197"/>
      <c r="E97" s="197"/>
      <c r="F97" s="197"/>
      <c r="G97" s="26" t="str">
        <f ca="1">IFERROR(__xludf.DUMMYFUNCTION("IF(I97="""","""",FILTER(DATOS!$D$4:$D$237,DATOS!$B$4:$B$237=I97))"),"04-122")</f>
        <v>04-122</v>
      </c>
      <c r="H97" s="27" t="str">
        <f ca="1">IFERROR(__xludf.DUMMYFUNCTION("IF(I97="""","""",FILTER(DATOS!$C$4:$C$237,DATOS!$B$4:$B$237=I97))"),"SAN CRISTOBAL")</f>
        <v>SAN CRISTOBAL</v>
      </c>
      <c r="I97" s="28" t="s">
        <v>108</v>
      </c>
      <c r="J97" s="29" t="s">
        <v>18</v>
      </c>
      <c r="K97" s="30">
        <v>108552128</v>
      </c>
      <c r="L97" s="8"/>
    </row>
    <row r="98" spans="1:12" ht="15.75" customHeight="1">
      <c r="A98" s="214"/>
      <c r="B98" s="197"/>
      <c r="C98" s="197"/>
      <c r="D98" s="197"/>
      <c r="E98" s="197"/>
      <c r="F98" s="197"/>
      <c r="G98" s="26" t="str">
        <f ca="1">IFERROR(__xludf.DUMMYFUNCTION("IF(I98="""","""",FILTER(DATOS!$D$4:$D$237,DATOS!$B$4:$B$237=I98))"),"03-036")</f>
        <v>03-036</v>
      </c>
      <c r="H98" s="27" t="str">
        <f ca="1">IFERROR(__xludf.DUMMYFUNCTION("IF(I98="""","""",FILTER(DATOS!$C$4:$C$237,DATOS!$B$4:$B$237=I98))"),"SANTAFE")</f>
        <v>SANTAFE</v>
      </c>
      <c r="I98" s="28" t="s">
        <v>109</v>
      </c>
      <c r="J98" s="29" t="s">
        <v>18</v>
      </c>
      <c r="K98" s="30">
        <v>84369496</v>
      </c>
      <c r="L98" s="8"/>
    </row>
    <row r="99" spans="1:12" ht="15.75" customHeight="1">
      <c r="A99" s="214"/>
      <c r="B99" s="197"/>
      <c r="C99" s="197"/>
      <c r="D99" s="197"/>
      <c r="E99" s="197"/>
      <c r="F99" s="197"/>
      <c r="G99" s="26" t="str">
        <f ca="1">IFERROR(__xludf.DUMMYFUNCTION("IF(I99="""","""",FILTER(DATOS!$D$4:$D$237,DATOS!$B$4:$B$237=I99))"),"08-066")</f>
        <v>08-066</v>
      </c>
      <c r="H99" s="27" t="str">
        <f ca="1">IFERROR(__xludf.DUMMYFUNCTION("IF(I99="""","""",FILTER(DATOS!$C$4:$C$237,DATOS!$B$4:$B$237=I99))"),"KENNEDY")</f>
        <v>KENNEDY</v>
      </c>
      <c r="I99" s="37" t="s">
        <v>110</v>
      </c>
      <c r="J99" s="29" t="s">
        <v>18</v>
      </c>
      <c r="K99" s="30">
        <v>105263291</v>
      </c>
      <c r="L99" s="8"/>
    </row>
    <row r="100" spans="1:12" ht="15.75" customHeight="1">
      <c r="A100" s="214"/>
      <c r="B100" s="197"/>
      <c r="C100" s="197"/>
      <c r="D100" s="197"/>
      <c r="E100" s="197"/>
      <c r="F100" s="197"/>
      <c r="G100" s="26" t="str">
        <f ca="1">IFERROR(__xludf.DUMMYFUNCTION("IF(I100="""","""",FILTER(DATOS!$D$4:$D$237,DATOS!$B$4:$B$237=I100))"),"19-230")</f>
        <v>19-230</v>
      </c>
      <c r="H100" s="27" t="str">
        <f ca="1">IFERROR(__xludf.DUMMYFUNCTION("IF(I100="""","""",FILTER(DATOS!$C$4:$C$237,DATOS!$B$4:$B$237=I100))"),"CIUDAD BOLIVAR")</f>
        <v>CIUDAD BOLIVAR</v>
      </c>
      <c r="I100" s="37" t="s">
        <v>111</v>
      </c>
      <c r="J100" s="29" t="s">
        <v>18</v>
      </c>
      <c r="K100" s="30">
        <v>78005934</v>
      </c>
      <c r="L100" s="8"/>
    </row>
    <row r="101" spans="1:12" ht="15.75" customHeight="1">
      <c r="A101" s="214"/>
      <c r="B101" s="197"/>
      <c r="C101" s="197"/>
      <c r="D101" s="197"/>
      <c r="E101" s="197"/>
      <c r="F101" s="197"/>
      <c r="G101" s="26" t="str">
        <f ca="1">IFERROR(__xludf.DUMMYFUNCTION("IF(I101="""","""",FILTER(DATOS!$D$4:$D$237,DATOS!$B$4:$B$237=I101))"),"16-099")</f>
        <v>16-099</v>
      </c>
      <c r="H101" s="27" t="str">
        <f ca="1">IFERROR(__xludf.DUMMYFUNCTION("IF(I101="""","""",FILTER(DATOS!$C$4:$C$237,DATOS!$B$4:$B$237=I101))"),"PUENTE ARANDA")</f>
        <v>PUENTE ARANDA</v>
      </c>
      <c r="I101" s="37" t="s">
        <v>112</v>
      </c>
      <c r="J101" s="29" t="s">
        <v>18</v>
      </c>
      <c r="K101" s="30">
        <v>57112142</v>
      </c>
      <c r="L101" s="8"/>
    </row>
    <row r="102" spans="1:12" ht="15.75" customHeight="1">
      <c r="A102" s="214"/>
      <c r="B102" s="197"/>
      <c r="C102" s="197"/>
      <c r="D102" s="197"/>
      <c r="E102" s="197"/>
      <c r="F102" s="197"/>
      <c r="G102" s="26" t="str">
        <f ca="1">IFERROR(__xludf.DUMMYFUNCTION("IF(I102="""","""",FILTER(DATOS!$D$4:$D$237,DATOS!$B$4:$B$237=I102))"),"18-162")</f>
        <v>18-162</v>
      </c>
      <c r="H102" s="27" t="str">
        <f ca="1">IFERROR(__xludf.DUMMYFUNCTION("IF(I102="""","""",FILTER(DATOS!$C$4:$C$237,DATOS!$B$4:$B$237=I102))"),"RAFAEL URIBE")</f>
        <v>RAFAEL URIBE</v>
      </c>
      <c r="I102" s="37" t="s">
        <v>113</v>
      </c>
      <c r="J102" s="29" t="s">
        <v>18</v>
      </c>
      <c r="K102" s="30">
        <v>61889198</v>
      </c>
      <c r="L102" s="8"/>
    </row>
    <row r="103" spans="1:12" ht="15.75" customHeight="1">
      <c r="A103" s="214"/>
      <c r="B103" s="197"/>
      <c r="C103" s="197"/>
      <c r="D103" s="197"/>
      <c r="E103" s="197"/>
      <c r="F103" s="197"/>
      <c r="G103" s="26" t="str">
        <f ca="1">IFERROR(__xludf.DUMMYFUNCTION("IF(I103="""","""",FILTER(DATOS!$D$4:$D$237,DATOS!$B$4:$B$237=I103))"),"18-457")</f>
        <v>18-457</v>
      </c>
      <c r="H103" s="27" t="str">
        <f ca="1">IFERROR(__xludf.DUMMYFUNCTION("IF(I103="""","""",FILTER(DATOS!$C$4:$C$237,DATOS!$B$4:$B$237=I103))"),"RAFAEL URIBE")</f>
        <v>RAFAEL URIBE</v>
      </c>
      <c r="I103" s="35" t="s">
        <v>114</v>
      </c>
      <c r="J103" s="29" t="s">
        <v>18</v>
      </c>
      <c r="K103" s="30">
        <v>58600361</v>
      </c>
      <c r="L103" s="8"/>
    </row>
    <row r="104" spans="1:12" ht="15.75" customHeight="1">
      <c r="A104" s="214"/>
      <c r="B104" s="197"/>
      <c r="C104" s="197"/>
      <c r="D104" s="197"/>
      <c r="E104" s="197"/>
      <c r="F104" s="197"/>
      <c r="G104" s="26" t="str">
        <f ca="1">IFERROR(__xludf.DUMMYFUNCTION("IF(I104="""","""",FILTER(DATOS!$D$4:$D$237,DATOS!$B$4:$B$237=I104))"),"")</f>
        <v/>
      </c>
      <c r="H104" s="27" t="str">
        <f ca="1">IFERROR(__xludf.DUMMYFUNCTION("IF(I104="""","""",FILTER(DATOS!$C$4:$C$237,DATOS!$B$4:$B$237=I104))"),"")</f>
        <v/>
      </c>
      <c r="I104" s="35" t="s">
        <v>115</v>
      </c>
      <c r="J104" s="29" t="s">
        <v>18</v>
      </c>
      <c r="K104" s="30">
        <v>57112142</v>
      </c>
      <c r="L104" s="8"/>
    </row>
    <row r="105" spans="1:12" ht="15.75" customHeight="1">
      <c r="A105" s="214"/>
      <c r="B105" s="197"/>
      <c r="C105" s="197"/>
      <c r="D105" s="197"/>
      <c r="E105" s="197"/>
      <c r="F105" s="197"/>
      <c r="G105" s="26" t="str">
        <f ca="1">IFERROR(__xludf.DUMMYFUNCTION("IF(I105="""","""",FILTER(DATOS!$D$4:$D$237,DATOS!$B$4:$B$237=I105))"),"07-035")</f>
        <v>07-035</v>
      </c>
      <c r="H105" s="27" t="str">
        <f ca="1">IFERROR(__xludf.DUMMYFUNCTION("IF(I105="""","""",FILTER(DATOS!$C$4:$C$237,DATOS!$B$4:$B$237=I105))"),"BOSA")</f>
        <v>BOSA</v>
      </c>
      <c r="I105" s="28" t="s">
        <v>116</v>
      </c>
      <c r="J105" s="29" t="s">
        <v>18</v>
      </c>
      <c r="K105" s="30">
        <v>81294771</v>
      </c>
      <c r="L105" s="8"/>
    </row>
    <row r="106" spans="1:12" ht="15.75" customHeight="1">
      <c r="A106" s="214"/>
      <c r="B106" s="197"/>
      <c r="C106" s="197"/>
      <c r="D106" s="197"/>
      <c r="E106" s="197"/>
      <c r="F106" s="197"/>
      <c r="G106" s="26" t="str">
        <f ca="1">IFERROR(__xludf.DUMMYFUNCTION("IF(I106="""","""",FILTER(DATOS!$D$4:$D$237,DATOS!$B$4:$B$237=I106))"),"06-017")</f>
        <v>06-017</v>
      </c>
      <c r="H106" s="27" t="str">
        <f ca="1">IFERROR(__xludf.DUMMYFUNCTION("IF(I106="""","""",FILTER(DATOS!$C$4:$C$237,DATOS!$B$4:$B$237=I106))"),"TUNJUELITO")</f>
        <v>TUNJUELITO</v>
      </c>
      <c r="I106" s="37" t="s">
        <v>117</v>
      </c>
      <c r="J106" s="29" t="s">
        <v>18</v>
      </c>
      <c r="K106" s="30">
        <v>60400979</v>
      </c>
      <c r="L106" s="8"/>
    </row>
    <row r="107" spans="1:12" ht="15.75" customHeight="1">
      <c r="A107" s="214"/>
      <c r="B107" s="197"/>
      <c r="C107" s="197"/>
      <c r="D107" s="197"/>
      <c r="E107" s="197"/>
      <c r="F107" s="197"/>
      <c r="G107" s="26" t="str">
        <f ca="1">IFERROR(__xludf.DUMMYFUNCTION("IF(I107="""","""",FILTER(DATOS!$D$4:$D$237,DATOS!$B$4:$B$237=I107))"),"08-034")</f>
        <v>08-034</v>
      </c>
      <c r="H107" s="27" t="str">
        <f ca="1">IFERROR(__xludf.DUMMYFUNCTION("IF(I107="""","""",FILTER(DATOS!$C$4:$C$237,DATOS!$B$4:$B$237=I107))"),"KENNEDY")</f>
        <v>KENNEDY</v>
      </c>
      <c r="I107" s="37" t="s">
        <v>118</v>
      </c>
      <c r="J107" s="29" t="s">
        <v>18</v>
      </c>
      <c r="K107" s="30">
        <v>63883277</v>
      </c>
      <c r="L107" s="8"/>
    </row>
    <row r="108" spans="1:12" ht="15.75" customHeight="1">
      <c r="A108" s="214"/>
      <c r="B108" s="197"/>
      <c r="C108" s="197"/>
      <c r="D108" s="197"/>
      <c r="E108" s="197"/>
      <c r="F108" s="197"/>
      <c r="G108" s="26" t="str">
        <f ca="1">IFERROR(__xludf.DUMMYFUNCTION("IF(I108="""","""",FILTER(DATOS!$D$4:$D$237,DATOS!$B$4:$B$237=I108))"),"07-391")</f>
        <v>07-391</v>
      </c>
      <c r="H108" s="27" t="str">
        <f ca="1">IFERROR(__xludf.DUMMYFUNCTION("IF(I108="""","""",FILTER(DATOS!$C$4:$C$237,DATOS!$B$4:$B$237=I108))"),"BOSA")</f>
        <v>BOSA</v>
      </c>
      <c r="I108" s="28" t="s">
        <v>119</v>
      </c>
      <c r="J108" s="29" t="s">
        <v>18</v>
      </c>
      <c r="K108" s="30">
        <v>227692161</v>
      </c>
      <c r="L108" s="8"/>
    </row>
    <row r="109" spans="1:12" ht="15.75" customHeight="1">
      <c r="A109" s="214"/>
      <c r="B109" s="197"/>
      <c r="C109" s="197"/>
      <c r="D109" s="197"/>
      <c r="E109" s="197"/>
      <c r="F109" s="197"/>
      <c r="G109" s="26" t="str">
        <f ca="1">IFERROR(__xludf.DUMMYFUNCTION("IF(I109="""","""",FILTER(DATOS!$D$4:$D$237,DATOS!$B$4:$B$237=I109))"),"12-110")</f>
        <v>12-110</v>
      </c>
      <c r="H109" s="27" t="str">
        <f ca="1">IFERROR(__xludf.DUMMYFUNCTION("IF(I109="""","""",FILTER(DATOS!$C$4:$C$237,DATOS!$B$4:$B$237=I109))"),"BARRIOS UNIDOS")</f>
        <v>BARRIOS UNIDOS</v>
      </c>
      <c r="I109" s="35" t="s">
        <v>120</v>
      </c>
      <c r="J109" s="29" t="s">
        <v>18</v>
      </c>
      <c r="K109" s="30">
        <v>234082840</v>
      </c>
      <c r="L109" s="8"/>
    </row>
    <row r="110" spans="1:12" ht="15.75" customHeight="1">
      <c r="A110" s="214"/>
      <c r="B110" s="197"/>
      <c r="C110" s="197"/>
      <c r="D110" s="197"/>
      <c r="E110" s="197"/>
      <c r="F110" s="197"/>
      <c r="G110" s="26" t="str">
        <f ca="1">IFERROR(__xludf.DUMMYFUNCTION("IF(I110="""","""",FILTER(DATOS!$D$4:$D$237,DATOS!$B$4:$B$237=I110))"),"18-205")</f>
        <v>18-205</v>
      </c>
      <c r="H110" s="27" t="str">
        <f ca="1">IFERROR(__xludf.DUMMYFUNCTION("IF(I110="""","""",FILTER(DATOS!$C$4:$C$237,DATOS!$B$4:$B$237=I110))"),"RAFAEL URIBE")</f>
        <v>RAFAEL URIBE</v>
      </c>
      <c r="I110" s="37" t="s">
        <v>121</v>
      </c>
      <c r="J110" s="29" t="s">
        <v>18</v>
      </c>
      <c r="K110" s="30">
        <v>57112142</v>
      </c>
      <c r="L110" s="8"/>
    </row>
    <row r="111" spans="1:12" ht="15.75" customHeight="1">
      <c r="A111" s="214"/>
      <c r="B111" s="197"/>
      <c r="C111" s="197"/>
      <c r="D111" s="197"/>
      <c r="E111" s="197"/>
      <c r="F111" s="197"/>
      <c r="G111" s="26" t="str">
        <f ca="1">IFERROR(__xludf.DUMMYFUNCTION("IF(I111="""","""",FILTER(DATOS!$D$4:$D$237,DATOS!$B$4:$B$237=I111))"),"05-236")</f>
        <v>05-236</v>
      </c>
      <c r="H111" s="27" t="str">
        <f ca="1">IFERROR(__xludf.DUMMYFUNCTION("IF(I111="""","""",FILTER(DATOS!$C$4:$C$237,DATOS!$B$4:$B$237=I111))"),"USME")</f>
        <v>USME</v>
      </c>
      <c r="I111" s="28" t="s">
        <v>122</v>
      </c>
      <c r="J111" s="29" t="s">
        <v>18</v>
      </c>
      <c r="K111" s="30">
        <v>58600361</v>
      </c>
      <c r="L111" s="8"/>
    </row>
    <row r="112" spans="1:12" ht="15.75" customHeight="1">
      <c r="A112" s="214"/>
      <c r="B112" s="197"/>
      <c r="C112" s="197"/>
      <c r="D112" s="197"/>
      <c r="E112" s="197"/>
      <c r="F112" s="197"/>
      <c r="G112" s="26" t="str">
        <f ca="1">IFERROR(__xludf.DUMMYFUNCTION("IF(I112="""","""",FILTER(DATOS!$D$4:$D$237,DATOS!$B$4:$B$237=I112))"),"04-127")</f>
        <v>04-127</v>
      </c>
      <c r="H112" s="27" t="str">
        <f ca="1">IFERROR(__xludf.DUMMYFUNCTION("IF(I112="""","""",FILTER(DATOS!$C$4:$C$237,DATOS!$B$4:$B$237=I112))"),"SAN CRISTOBAL")</f>
        <v>SAN CRISTOBAL</v>
      </c>
      <c r="I112" s="28" t="s">
        <v>123</v>
      </c>
      <c r="J112" s="29" t="s">
        <v>18</v>
      </c>
      <c r="K112" s="30">
        <v>189407523</v>
      </c>
      <c r="L112" s="8"/>
    </row>
    <row r="113" spans="1:12" ht="15.75" customHeight="1">
      <c r="A113" s="214"/>
      <c r="B113" s="197"/>
      <c r="C113" s="197"/>
      <c r="D113" s="197"/>
      <c r="E113" s="197"/>
      <c r="F113" s="197"/>
      <c r="G113" s="26" t="str">
        <f ca="1">IFERROR(__xludf.DUMMYFUNCTION("IF(I113="""","""",FILTER(DATOS!$D$4:$D$237,DATOS!$B$4:$B$237=I113))"),"04-127")</f>
        <v>04-127</v>
      </c>
      <c r="H113" s="27" t="str">
        <f ca="1">IFERROR(__xludf.DUMMYFUNCTION("IF(I113="""","""",FILTER(DATOS!$C$4:$C$237,DATOS!$B$4:$B$237=I113))"),"SAN CRISTOBAL")</f>
        <v>SAN CRISTOBAL</v>
      </c>
      <c r="I113" s="28" t="s">
        <v>124</v>
      </c>
      <c r="J113" s="29" t="s">
        <v>18</v>
      </c>
      <c r="K113" s="30">
        <v>236667735</v>
      </c>
      <c r="L113" s="8"/>
    </row>
    <row r="114" spans="1:12" ht="15.75" customHeight="1">
      <c r="A114" s="214"/>
      <c r="B114" s="197"/>
      <c r="C114" s="197"/>
      <c r="D114" s="197"/>
      <c r="E114" s="197"/>
      <c r="F114" s="197"/>
      <c r="G114" s="26" t="str">
        <f ca="1">IFERROR(__xludf.DUMMYFUNCTION("IF(I114="""","""",FILTER(DATOS!$D$4:$D$237,DATOS!$B$4:$B$237=I114))"),"08-791")</f>
        <v>08-791</v>
      </c>
      <c r="H114" s="27" t="str">
        <f ca="1">IFERROR(__xludf.DUMMYFUNCTION("IF(I114="""","""",FILTER(DATOS!$C$4:$C$237,DATOS!$B$4:$B$237=I114))"),"KENNEDY")</f>
        <v>KENNEDY</v>
      </c>
      <c r="I114" s="37" t="s">
        <v>125</v>
      </c>
      <c r="J114" s="29" t="s">
        <v>18</v>
      </c>
      <c r="K114" s="30">
        <v>57112142</v>
      </c>
      <c r="L114" s="8"/>
    </row>
    <row r="115" spans="1:12" ht="15.75" customHeight="1">
      <c r="A115" s="214"/>
      <c r="B115" s="197"/>
      <c r="C115" s="197"/>
      <c r="D115" s="197"/>
      <c r="E115" s="197"/>
      <c r="F115" s="197"/>
      <c r="G115" s="26" t="str">
        <f ca="1">IFERROR(__xludf.DUMMYFUNCTION("IF(I115="""","""",FILTER(DATOS!$D$4:$D$237,DATOS!$B$4:$B$237=I115))"),"18-073")</f>
        <v>18-073</v>
      </c>
      <c r="H115" s="27" t="str">
        <f ca="1">IFERROR(__xludf.DUMMYFUNCTION("IF(I115="""","""",FILTER(DATOS!$C$4:$C$237,DATOS!$B$4:$B$237=I115))"),"RAFAEL URIBE")</f>
        <v>RAFAEL URIBE</v>
      </c>
      <c r="I115" s="37" t="s">
        <v>126</v>
      </c>
      <c r="J115" s="29" t="s">
        <v>18</v>
      </c>
      <c r="K115" s="30">
        <v>110688099</v>
      </c>
      <c r="L115" s="8"/>
    </row>
    <row r="116" spans="1:12" ht="15.75" customHeight="1">
      <c r="A116" s="214"/>
      <c r="B116" s="197"/>
      <c r="C116" s="197"/>
      <c r="D116" s="197"/>
      <c r="E116" s="197"/>
      <c r="F116" s="197"/>
      <c r="G116" s="26" t="str">
        <f ca="1">IFERROR(__xludf.DUMMYFUNCTION("IF(I116="""","""",FILTER(DATOS!$D$4:$D$237,DATOS!$B$4:$B$237=I116))"),"19-190")</f>
        <v>19-190</v>
      </c>
      <c r="H116" s="27" t="str">
        <f ca="1">IFERROR(__xludf.DUMMYFUNCTION("IF(I116="""","""",FILTER(DATOS!$C$4:$C$237,DATOS!$B$4:$B$237=I116))"),"CIUDAD BOLIVAR")</f>
        <v>CIUDAD BOLIVAR</v>
      </c>
      <c r="I116" s="37" t="s">
        <v>127</v>
      </c>
      <c r="J116" s="29" t="s">
        <v>18</v>
      </c>
      <c r="K116" s="30">
        <v>103775072</v>
      </c>
      <c r="L116" s="8"/>
    </row>
    <row r="117" spans="1:12" ht="15.75" customHeight="1">
      <c r="A117" s="214"/>
      <c r="B117" s="197"/>
      <c r="C117" s="197"/>
      <c r="D117" s="197"/>
      <c r="E117" s="197"/>
      <c r="F117" s="197"/>
      <c r="G117" s="26" t="str">
        <f ca="1">IFERROR(__xludf.DUMMYFUNCTION("IF(I117="""","""",FILTER(DATOS!$D$4:$D$237,DATOS!$B$4:$B$237=I117))"),"19-348")</f>
        <v>19-348</v>
      </c>
      <c r="H117" s="27" t="str">
        <f ca="1">IFERROR(__xludf.DUMMYFUNCTION("IF(I117="""","""",FILTER(DATOS!$C$4:$C$237,DATOS!$B$4:$B$237=I117))"),"CIUDAD BOLIVAR")</f>
        <v>CIUDAD BOLIVAR</v>
      </c>
      <c r="I117" s="37" t="s">
        <v>128</v>
      </c>
      <c r="J117" s="29" t="s">
        <v>18</v>
      </c>
      <c r="K117" s="30">
        <v>63883277</v>
      </c>
      <c r="L117" s="8"/>
    </row>
    <row r="118" spans="1:12" ht="15.75" customHeight="1">
      <c r="A118" s="214"/>
      <c r="B118" s="197"/>
      <c r="C118" s="197"/>
      <c r="D118" s="197"/>
      <c r="E118" s="197"/>
      <c r="F118" s="197"/>
      <c r="G118" s="26" t="str">
        <f ca="1">IFERROR(__xludf.DUMMYFUNCTION("IF(I118="""","""",FILTER(DATOS!$D$4:$D$237,DATOS!$B$4:$B$237=I118))"),"16-099")</f>
        <v>16-099</v>
      </c>
      <c r="H118" s="27" t="str">
        <f ca="1">IFERROR(__xludf.DUMMYFUNCTION("IF(I118="""","""",FILTER(DATOS!$C$4:$C$237,DATOS!$B$4:$B$237=I118))"),"PUENTE ARANDA")</f>
        <v>PUENTE ARANDA</v>
      </c>
      <c r="I118" s="37" t="s">
        <v>112</v>
      </c>
      <c r="J118" s="29" t="s">
        <v>18</v>
      </c>
      <c r="K118" s="30">
        <v>57112142</v>
      </c>
      <c r="L118" s="8"/>
    </row>
    <row r="119" spans="1:12" ht="15.75" customHeight="1">
      <c r="A119" s="214"/>
      <c r="B119" s="197"/>
      <c r="C119" s="197"/>
      <c r="D119" s="197"/>
      <c r="E119" s="197"/>
      <c r="F119" s="197"/>
      <c r="G119" s="26" t="str">
        <f ca="1">IFERROR(__xludf.DUMMYFUNCTION("IF(I119="""","""",FILTER(DATOS!$D$4:$D$237,DATOS!$B$4:$B$237=I119))"),"03-085")</f>
        <v>03-085</v>
      </c>
      <c r="H119" s="27" t="str">
        <f ca="1">IFERROR(__xludf.DUMMYFUNCTION("IF(I119="""","""",FILTER(DATOS!$C$4:$C$237,DATOS!$B$4:$B$237=I119))"),"SANTAFE")</f>
        <v>SANTAFE</v>
      </c>
      <c r="I119" s="28" t="s">
        <v>129</v>
      </c>
      <c r="J119" s="29" t="s">
        <v>18</v>
      </c>
      <c r="K119" s="30">
        <v>255668054</v>
      </c>
      <c r="L119" s="8"/>
    </row>
    <row r="120" spans="1:12" ht="15.75" customHeight="1">
      <c r="A120" s="214"/>
      <c r="B120" s="197"/>
      <c r="C120" s="197"/>
      <c r="D120" s="197"/>
      <c r="E120" s="197"/>
      <c r="F120" s="197"/>
      <c r="G120" s="26" t="str">
        <f ca="1">IFERROR(__xludf.DUMMYFUNCTION("IF(I120="""","""",FILTER(DATOS!$D$4:$D$237,DATOS!$B$4:$B$237=I120))"),"07-274")</f>
        <v>07-274</v>
      </c>
      <c r="H120" s="27" t="str">
        <f ca="1">IFERROR(__xludf.DUMMYFUNCTION("IF(I120="""","""",FILTER(DATOS!$C$4:$C$237,DATOS!$B$4:$B$237=I120))"),"BOSA")</f>
        <v>BOSA</v>
      </c>
      <c r="I120" s="28" t="s">
        <v>130</v>
      </c>
      <c r="J120" s="29" t="s">
        <v>18</v>
      </c>
      <c r="K120" s="30">
        <v>60341510</v>
      </c>
      <c r="L120" s="8"/>
    </row>
    <row r="121" spans="1:12" ht="15.75" customHeight="1">
      <c r="A121" s="214"/>
      <c r="B121" s="197"/>
      <c r="C121" s="197"/>
      <c r="D121" s="197"/>
      <c r="E121" s="197"/>
      <c r="F121" s="197"/>
      <c r="G121" s="26" t="str">
        <f ca="1">IFERROR(__xludf.DUMMYFUNCTION("IF(I121="""","""",FILTER(DATOS!$D$4:$D$237,DATOS!$B$4:$B$237=I121))"),"07-036")</f>
        <v>07-036</v>
      </c>
      <c r="H121" s="27" t="str">
        <f ca="1">IFERROR(__xludf.DUMMYFUNCTION("IF(I121="""","""",FILTER(DATOS!$C$4:$C$237,DATOS!$B$4:$B$237=I121))"),"BOSA")</f>
        <v>BOSA</v>
      </c>
      <c r="I121" s="28" t="s">
        <v>131</v>
      </c>
      <c r="J121" s="29" t="s">
        <v>18</v>
      </c>
      <c r="K121" s="30">
        <v>105263291</v>
      </c>
      <c r="L121" s="8"/>
    </row>
    <row r="122" spans="1:12" ht="15.75" customHeight="1">
      <c r="A122" s="214"/>
      <c r="B122" s="197"/>
      <c r="C122" s="197"/>
      <c r="D122" s="197"/>
      <c r="E122" s="197"/>
      <c r="F122" s="197"/>
      <c r="G122" s="26" t="str">
        <f ca="1">IFERROR(__xludf.DUMMYFUNCTION("IF(I122="""","""",FILTER(DATOS!$D$4:$D$237,DATOS!$B$4:$B$237=I122))"),"08-219")</f>
        <v>08-219</v>
      </c>
      <c r="H122" s="27" t="str">
        <f ca="1">IFERROR(__xludf.DUMMYFUNCTION("IF(I122="""","""",FILTER(DATOS!$C$4:$C$237,DATOS!$B$4:$B$237=I122))"),"KENNEDY")</f>
        <v>KENNEDY</v>
      </c>
      <c r="I122" s="37" t="s">
        <v>132</v>
      </c>
      <c r="J122" s="29" t="s">
        <v>18</v>
      </c>
      <c r="K122" s="30">
        <v>306148635</v>
      </c>
      <c r="L122" s="8"/>
    </row>
    <row r="123" spans="1:12" ht="15.75" customHeight="1">
      <c r="A123" s="214"/>
      <c r="B123" s="197"/>
      <c r="C123" s="197"/>
      <c r="D123" s="197"/>
      <c r="E123" s="197"/>
      <c r="F123" s="197"/>
      <c r="G123" s="26" t="str">
        <f ca="1">IFERROR(__xludf.DUMMYFUNCTION("IF(I123="""","""",FILTER(DATOS!$D$4:$D$237,DATOS!$B$4:$B$237=I123))"),"05-003")</f>
        <v>05-003</v>
      </c>
      <c r="H123" s="27" t="str">
        <f ca="1">IFERROR(__xludf.DUMMYFUNCTION("IF(I123="""","""",FILTER(DATOS!$C$4:$C$237,DATOS!$B$4:$B$237=I123))"),"USME")</f>
        <v>USME</v>
      </c>
      <c r="I123" s="28" t="s">
        <v>133</v>
      </c>
      <c r="J123" s="29" t="s">
        <v>18</v>
      </c>
      <c r="K123" s="30">
        <v>57112142</v>
      </c>
      <c r="L123" s="8"/>
    </row>
    <row r="124" spans="1:12" ht="15.75" customHeight="1">
      <c r="A124" s="214"/>
      <c r="B124" s="197"/>
      <c r="C124" s="197"/>
      <c r="D124" s="197"/>
      <c r="E124" s="197"/>
      <c r="F124" s="197"/>
      <c r="G124" s="26" t="str">
        <f ca="1">IFERROR(__xludf.DUMMYFUNCTION("IF(I124="""","""",FILTER(DATOS!$D$4:$D$237,DATOS!$B$4:$B$237=I124))"),"04-196")</f>
        <v>04-196</v>
      </c>
      <c r="H124" s="27" t="str">
        <f ca="1">IFERROR(__xludf.DUMMYFUNCTION("IF(I124="""","""",FILTER(DATOS!$C$4:$C$237,DATOS!$B$4:$B$237=I124))"),"SAN CRISTOBAL")</f>
        <v>SAN CRISTOBAL</v>
      </c>
      <c r="I124" s="28" t="s">
        <v>134</v>
      </c>
      <c r="J124" s="29" t="s">
        <v>18</v>
      </c>
      <c r="K124" s="30">
        <v>127957701</v>
      </c>
      <c r="L124" s="8"/>
    </row>
    <row r="125" spans="1:12" ht="15.75" customHeight="1">
      <c r="A125" s="214"/>
      <c r="B125" s="197"/>
      <c r="C125" s="197"/>
      <c r="D125" s="197"/>
      <c r="E125" s="197"/>
      <c r="F125" s="197"/>
      <c r="G125" s="26" t="str">
        <f ca="1">IFERROR(__xludf.DUMMYFUNCTION("IF(I125="""","""",FILTER(DATOS!$D$4:$D$237,DATOS!$B$4:$B$237=I125))"),"05-087")</f>
        <v>05-087</v>
      </c>
      <c r="H125" s="27" t="str">
        <f ca="1">IFERROR(__xludf.DUMMYFUNCTION("IF(I125="""","""",FILTER(DATOS!$C$4:$C$237,DATOS!$B$4:$B$237=I125))"),"USME")</f>
        <v>USME</v>
      </c>
      <c r="I125" s="28" t="s">
        <v>135</v>
      </c>
      <c r="J125" s="29" t="s">
        <v>18</v>
      </c>
      <c r="K125" s="30">
        <v>58600361</v>
      </c>
      <c r="L125" s="8"/>
    </row>
    <row r="126" spans="1:12" ht="15.75" customHeight="1">
      <c r="A126" s="214"/>
      <c r="B126" s="197"/>
      <c r="C126" s="197"/>
      <c r="D126" s="197"/>
      <c r="E126" s="197"/>
      <c r="F126" s="197"/>
      <c r="G126" s="26" t="str">
        <f ca="1">IFERROR(__xludf.DUMMYFUNCTION("IF(I126="""","""",FILTER(DATOS!$D$4:$D$237,DATOS!$B$4:$B$237=I126))"),"04-075")</f>
        <v>04-075</v>
      </c>
      <c r="H126" s="27" t="str">
        <f ca="1">IFERROR(__xludf.DUMMYFUNCTION("IF(I126="""","""",FILTER(DATOS!$C$4:$C$237,DATOS!$B$4:$B$237=I126))"),"SAN CRISTOBAL")</f>
        <v>SAN CRISTOBAL</v>
      </c>
      <c r="I126" s="37" t="s">
        <v>136</v>
      </c>
      <c r="J126" s="29" t="s">
        <v>18</v>
      </c>
      <c r="K126" s="30">
        <v>60400979</v>
      </c>
      <c r="L126" s="8"/>
    </row>
    <row r="127" spans="1:12" ht="15.75" customHeight="1">
      <c r="A127" s="214"/>
      <c r="B127" s="197"/>
      <c r="C127" s="197"/>
      <c r="D127" s="197"/>
      <c r="E127" s="197"/>
      <c r="F127" s="197"/>
      <c r="G127" s="26" t="str">
        <f ca="1">IFERROR(__xludf.DUMMYFUNCTION("IF(I127="""","""",FILTER(DATOS!$D$4:$D$237,DATOS!$B$4:$B$237=I127))"),"15-036")</f>
        <v>15-036</v>
      </c>
      <c r="H127" s="27" t="str">
        <f ca="1">IFERROR(__xludf.DUMMYFUNCTION("IF(I127="""","""",FILTER(DATOS!$C$4:$C$237,DATOS!$B$4:$B$237=I127))"),"ANTONIO NARIÑO")</f>
        <v>ANTONIO NARIÑO</v>
      </c>
      <c r="I127" s="37" t="s">
        <v>137</v>
      </c>
      <c r="J127" s="29" t="s">
        <v>18</v>
      </c>
      <c r="K127" s="30">
        <v>61174823</v>
      </c>
      <c r="L127" s="8"/>
    </row>
    <row r="128" spans="1:12" ht="16.5" customHeight="1">
      <c r="A128" s="214"/>
      <c r="B128" s="197"/>
      <c r="C128" s="197"/>
      <c r="D128" s="197"/>
      <c r="E128" s="197"/>
      <c r="F128" s="197"/>
      <c r="G128" s="26" t="str">
        <f ca="1">IFERROR(__xludf.DUMMYFUNCTION("IF(I128="""","""",FILTER(DATOS!$D$4:$D$237,DATOS!$B$4:$B$237=I128))"),"15-036")</f>
        <v>15-036</v>
      </c>
      <c r="H128" s="27" t="str">
        <f ca="1">IFERROR(__xludf.DUMMYFUNCTION("IF(I128="""","""",FILTER(DATOS!$C$4:$C$237,DATOS!$B$4:$B$237=I128))"),"ANTONIO NARIÑO")</f>
        <v>ANTONIO NARIÑO</v>
      </c>
      <c r="I128" s="37" t="s">
        <v>137</v>
      </c>
      <c r="J128" s="29" t="s">
        <v>18</v>
      </c>
      <c r="K128" s="30">
        <v>57112142</v>
      </c>
      <c r="L128" s="8"/>
    </row>
    <row r="129" spans="1:12" ht="15.75" customHeight="1">
      <c r="A129" s="214"/>
      <c r="B129" s="197"/>
      <c r="C129" s="197"/>
      <c r="D129" s="197"/>
      <c r="E129" s="197"/>
      <c r="F129" s="197"/>
      <c r="G129" s="26" t="str">
        <f ca="1">IFERROR(__xludf.DUMMYFUNCTION("IF(I129="""","""",FILTER(DATOS!$D$4:$D$237,DATOS!$B$4:$B$237=I129))"),"")</f>
        <v/>
      </c>
      <c r="H129" s="27" t="str">
        <f ca="1">IFERROR(__xludf.DUMMYFUNCTION("IF(I129="""","""",FILTER(DATOS!$C$4:$C$237,DATOS!$B$4:$B$237=I129))"),"")</f>
        <v/>
      </c>
      <c r="I129" s="35" t="s">
        <v>138</v>
      </c>
      <c r="J129" s="29" t="s">
        <v>18</v>
      </c>
      <c r="K129" s="30">
        <v>58600364</v>
      </c>
      <c r="L129" s="8"/>
    </row>
    <row r="130" spans="1:12" ht="15.75" customHeight="1">
      <c r="A130" s="214"/>
      <c r="B130" s="197"/>
      <c r="C130" s="197"/>
      <c r="D130" s="197"/>
      <c r="E130" s="197"/>
      <c r="F130" s="197"/>
      <c r="G130" s="26" t="str">
        <f ca="1">IFERROR(__xludf.DUMMYFUNCTION("IF(I130="""","""",FILTER(DATOS!$D$4:$D$237,DATOS!$B$4:$B$237=I130))"),"19-788")</f>
        <v>19-788</v>
      </c>
      <c r="H130" s="27" t="str">
        <f ca="1">IFERROR(__xludf.DUMMYFUNCTION("IF(I130="""","""",FILTER(DATOS!$C$4:$C$237,DATOS!$B$4:$B$237=I130))"),"CIUDAD BOLIVAR")</f>
        <v>CIUDAD BOLIVAR</v>
      </c>
      <c r="I130" s="35" t="s">
        <v>139</v>
      </c>
      <c r="J130" s="29" t="s">
        <v>18</v>
      </c>
      <c r="K130" s="30">
        <v>58600364</v>
      </c>
      <c r="L130" s="8"/>
    </row>
    <row r="131" spans="1:12" ht="15.75" customHeight="1">
      <c r="A131" s="214"/>
      <c r="B131" s="197"/>
      <c r="C131" s="197"/>
      <c r="D131" s="197"/>
      <c r="E131" s="197"/>
      <c r="F131" s="197"/>
      <c r="G131" s="26" t="str">
        <f ca="1">IFERROR(__xludf.DUMMYFUNCTION("IF(I131="""","""",FILTER(DATOS!$D$4:$D$237,DATOS!$B$4:$B$237=I131))"),"07-436")</f>
        <v>07-436</v>
      </c>
      <c r="H131" s="27" t="str">
        <f ca="1">IFERROR(__xludf.DUMMYFUNCTION("IF(I131="""","""",FILTER(DATOS!$C$4:$C$237,DATOS!$B$4:$B$237=I131))"),"BOSA")</f>
        <v>BOSA</v>
      </c>
      <c r="I131" s="35" t="s">
        <v>140</v>
      </c>
      <c r="J131" s="29" t="s">
        <v>18</v>
      </c>
      <c r="K131" s="30">
        <v>126157083</v>
      </c>
      <c r="L131" s="8"/>
    </row>
    <row r="132" spans="1:12" ht="15.75" customHeight="1">
      <c r="A132" s="214"/>
      <c r="B132" s="197"/>
      <c r="C132" s="197"/>
      <c r="D132" s="197"/>
      <c r="E132" s="197"/>
      <c r="F132" s="197"/>
      <c r="G132" s="26" t="str">
        <f ca="1">IFERROR(__xludf.DUMMYFUNCTION("IF(I132="""","""",FILTER(DATOS!$D$4:$D$237,DATOS!$B$4:$B$237=I132))"),"17-028")</f>
        <v>17-028</v>
      </c>
      <c r="H132" s="27" t="str">
        <f ca="1">IFERROR(__xludf.DUMMYFUNCTION("IF(I132="""","""",FILTER(DATOS!$C$4:$C$237,DATOS!$B$4:$B$237=I132))"),"CANDELARIA")</f>
        <v>CANDELARIA</v>
      </c>
      <c r="I132" s="35" t="s">
        <v>141</v>
      </c>
      <c r="J132" s="29" t="s">
        <v>18</v>
      </c>
      <c r="K132" s="30">
        <v>27525354</v>
      </c>
      <c r="L132" s="8"/>
    </row>
    <row r="133" spans="1:12" ht="15.75" customHeight="1" thickBot="1">
      <c r="A133" s="186"/>
      <c r="B133" s="191"/>
      <c r="C133" s="191"/>
      <c r="D133" s="191"/>
      <c r="E133" s="191"/>
      <c r="F133" s="191"/>
      <c r="G133" s="42" t="str">
        <f ca="1">IFERROR(__xludf.DUMMYFUNCTION("IF(I133="""","""",FILTER(DATOS!$D$4:$D$237,DATOS!$B$4:$B$237=I133))"),"16-221")</f>
        <v>16-221</v>
      </c>
      <c r="H133" s="43" t="str">
        <f ca="1">IFERROR(__xludf.DUMMYFUNCTION("IF(I133="""","""",FILTER(DATOS!$C$4:$C$237,DATOS!$B$4:$B$237=I133))"),"PUENTE ARANDA")</f>
        <v>PUENTE ARANDA</v>
      </c>
      <c r="I133" s="44" t="s">
        <v>142</v>
      </c>
      <c r="J133" s="45" t="s">
        <v>18</v>
      </c>
      <c r="K133" s="46">
        <v>119598066</v>
      </c>
      <c r="L133" s="8"/>
    </row>
    <row r="134" spans="1:12" ht="15.75" customHeight="1">
      <c r="A134" s="196" t="s">
        <v>143</v>
      </c>
      <c r="B134" s="198" t="s">
        <v>144</v>
      </c>
      <c r="C134" s="199" t="s">
        <v>145</v>
      </c>
      <c r="D134" s="200">
        <v>44415</v>
      </c>
      <c r="E134" s="200">
        <v>45351</v>
      </c>
      <c r="F134" s="201">
        <v>100</v>
      </c>
      <c r="G134" s="47" t="str">
        <f ca="1">IFERROR(__xludf.DUMMYFUNCTION("IF(I134="""","""",FILTER(DATOS!$D$4:$D$237,DATOS!$B$4:$B$237=I134))"),"08-419")</f>
        <v>08-419</v>
      </c>
      <c r="H134" s="47" t="str">
        <f ca="1">IFERROR(__xludf.DUMMYFUNCTION("IF(I134="""","""",FILTER(DATOS!$C$4:$C$237,DATOS!$B$4:$B$237=I134))"),"KENNEDY")</f>
        <v>KENNEDY</v>
      </c>
      <c r="I134" s="38" t="s">
        <v>146</v>
      </c>
      <c r="J134" s="48" t="s">
        <v>147</v>
      </c>
      <c r="K134" s="49">
        <v>29365522</v>
      </c>
      <c r="L134" s="8">
        <v>37509841038</v>
      </c>
    </row>
    <row r="135" spans="1:12" ht="24">
      <c r="A135" s="197"/>
      <c r="B135" s="197"/>
      <c r="C135" s="197"/>
      <c r="D135" s="197"/>
      <c r="E135" s="197"/>
      <c r="F135" s="197"/>
      <c r="G135" s="50" t="str">
        <f ca="1">IFERROR(__xludf.DUMMYFUNCTION("IF(I135="""","""",FILTER(DATOS!$D$4:$D$237,DATOS!$B$4:$B$237=I135))"),"10-290")</f>
        <v>10-290</v>
      </c>
      <c r="H135" s="50" t="str">
        <f ca="1">IFERROR(__xludf.DUMMYFUNCTION("IF(I135="""","""",FILTER(DATOS!$C$4:$C$237,DATOS!$B$4:$B$237=I135))"),"ENGATIVA")</f>
        <v>ENGATIVA</v>
      </c>
      <c r="I135" s="37" t="s">
        <v>62</v>
      </c>
      <c r="J135" s="29" t="s">
        <v>147</v>
      </c>
      <c r="K135" s="30">
        <v>127250596</v>
      </c>
      <c r="L135" s="8"/>
    </row>
    <row r="136" spans="1:12" ht="15.75" customHeight="1">
      <c r="A136" s="197"/>
      <c r="B136" s="197"/>
      <c r="C136" s="197"/>
      <c r="D136" s="197"/>
      <c r="E136" s="197"/>
      <c r="F136" s="197"/>
      <c r="G136" s="50" t="str">
        <f ca="1">IFERROR(__xludf.DUMMYFUNCTION("IF(I136="""","""",FILTER(DATOS!$D$4:$D$237,DATOS!$B$4:$B$237=I136))"),"10-311")</f>
        <v>10-311</v>
      </c>
      <c r="H136" s="50" t="str">
        <f ca="1">IFERROR(__xludf.DUMMYFUNCTION("IF(I136="""","""",FILTER(DATOS!$C$4:$C$237,DATOS!$B$4:$B$237=I136))"),"ENGATIVA")</f>
        <v>ENGATIVA</v>
      </c>
      <c r="I136" s="31" t="s">
        <v>38</v>
      </c>
      <c r="J136" s="29" t="s">
        <v>147</v>
      </c>
      <c r="K136" s="30">
        <v>58731045</v>
      </c>
      <c r="L136" s="8"/>
    </row>
    <row r="137" spans="1:12" ht="15.75" customHeight="1">
      <c r="A137" s="197"/>
      <c r="B137" s="197"/>
      <c r="C137" s="197"/>
      <c r="D137" s="197"/>
      <c r="E137" s="197"/>
      <c r="F137" s="197"/>
      <c r="G137" s="50" t="str">
        <f ca="1">IFERROR(__xludf.DUMMYFUNCTION("IF(I137="""","""",FILTER(DATOS!$D$4:$D$237,DATOS!$B$4:$B$237=I137))"),"12-091")</f>
        <v>12-091</v>
      </c>
      <c r="H137" s="50" t="str">
        <f ca="1">IFERROR(__xludf.DUMMYFUNCTION("IF(I137="""","""",FILTER(DATOS!$C$4:$C$237,DATOS!$B$4:$B$237=I137))"),"BARRIOS UNIDOS")</f>
        <v>BARRIOS UNIDOS</v>
      </c>
      <c r="I137" s="37" t="s">
        <v>53</v>
      </c>
      <c r="J137" s="29" t="s">
        <v>147</v>
      </c>
      <c r="K137" s="30">
        <v>97885074</v>
      </c>
      <c r="L137" s="8"/>
    </row>
    <row r="138" spans="1:12" ht="15.75" customHeight="1">
      <c r="A138" s="197"/>
      <c r="B138" s="197"/>
      <c r="C138" s="197"/>
      <c r="D138" s="197"/>
      <c r="E138" s="197"/>
      <c r="F138" s="197"/>
      <c r="G138" s="50" t="str">
        <f ca="1">IFERROR(__xludf.DUMMYFUNCTION("IF(I138="""","""",FILTER(DATOS!$D$4:$D$237,DATOS!$B$4:$B$237=I138))"),"12-091")</f>
        <v>12-091</v>
      </c>
      <c r="H138" s="50" t="str">
        <f ca="1">IFERROR(__xludf.DUMMYFUNCTION("IF(I138="""","""",FILTER(DATOS!$C$4:$C$237,DATOS!$B$4:$B$237=I138))"),"BARRIOS UNIDOS")</f>
        <v>BARRIOS UNIDOS</v>
      </c>
      <c r="I138" s="51" t="s">
        <v>53</v>
      </c>
      <c r="J138" s="29" t="s">
        <v>148</v>
      </c>
      <c r="K138" s="30">
        <v>29365522</v>
      </c>
      <c r="L138" s="8"/>
    </row>
    <row r="139" spans="1:12" ht="15.75" customHeight="1">
      <c r="A139" s="197"/>
      <c r="B139" s="197"/>
      <c r="C139" s="197"/>
      <c r="D139" s="197"/>
      <c r="E139" s="197"/>
      <c r="F139" s="197"/>
      <c r="G139" s="52" t="str">
        <f ca="1">IFERROR(__xludf.DUMMYFUNCTION("IF(I139="""","""",FILTER(DATOS!$D$4:$D$237,DATOS!$B$4:$B$237=I139))"),"12-1000")</f>
        <v>12-1000</v>
      </c>
      <c r="H139" s="52" t="str">
        <f ca="1">IFERROR(__xludf.DUMMYFUNCTION("IF(I139="""","""",FILTER(DATOS!$C$4:$C$237,DATOS!$B$4:$B$237=I139))"),"BARRIOS UNIDOS")</f>
        <v>BARRIOS UNIDOS</v>
      </c>
      <c r="I139" s="51" t="s">
        <v>28</v>
      </c>
      <c r="J139" s="29" t="s">
        <v>147</v>
      </c>
      <c r="K139" s="30">
        <v>88096567</v>
      </c>
      <c r="L139" s="8"/>
    </row>
    <row r="140" spans="1:12" ht="15.75" customHeight="1">
      <c r="A140" s="197"/>
      <c r="B140" s="197"/>
      <c r="C140" s="197"/>
      <c r="D140" s="197"/>
      <c r="E140" s="197"/>
      <c r="F140" s="197"/>
      <c r="G140" s="50" t="str">
        <f ca="1">IFERROR(__xludf.DUMMYFUNCTION("IF(I140="""","""",FILTER(DATOS!$D$4:$D$237,DATOS!$B$4:$B$237=I140))"),"12-125")</f>
        <v>12-125</v>
      </c>
      <c r="H140" s="50" t="str">
        <f ca="1">IFERROR(__xludf.DUMMYFUNCTION("IF(I140="""","""",FILTER(DATOS!$C$4:$C$237,DATOS!$B$4:$B$237=I140))"),"BARRIOS UNIDOS")</f>
        <v>BARRIOS UNIDOS</v>
      </c>
      <c r="I140" s="51" t="s">
        <v>47</v>
      </c>
      <c r="J140" s="29" t="s">
        <v>147</v>
      </c>
      <c r="K140" s="30">
        <v>19577015</v>
      </c>
      <c r="L140" s="8"/>
    </row>
    <row r="141" spans="1:12" ht="15.75" customHeight="1">
      <c r="A141" s="197"/>
      <c r="B141" s="197"/>
      <c r="C141" s="197"/>
      <c r="D141" s="197"/>
      <c r="E141" s="197"/>
      <c r="F141" s="197"/>
      <c r="G141" s="50" t="str">
        <f ca="1">IFERROR(__xludf.DUMMYFUNCTION("IF(I141="""","""",FILTER(DATOS!$D$4:$D$237,DATOS!$B$4:$B$237=I141))"),"13-088")</f>
        <v>13-088</v>
      </c>
      <c r="H141" s="50" t="str">
        <f ca="1">IFERROR(__xludf.DUMMYFUNCTION("IF(I141="""","""",FILTER(DATOS!$C$4:$C$237,DATOS!$B$4:$B$237=I141))"),"TEUSAQUILLO")</f>
        <v>TEUSAQUILLO</v>
      </c>
      <c r="I141" s="37" t="s">
        <v>66</v>
      </c>
      <c r="J141" s="29" t="s">
        <v>147</v>
      </c>
      <c r="K141" s="30">
        <v>9788507</v>
      </c>
      <c r="L141" s="8"/>
    </row>
    <row r="142" spans="1:12">
      <c r="A142" s="197"/>
      <c r="B142" s="197"/>
      <c r="C142" s="197"/>
      <c r="D142" s="197"/>
      <c r="E142" s="197"/>
      <c r="F142" s="197"/>
      <c r="G142" s="50" t="str">
        <f ca="1">IFERROR(__xludf.DUMMYFUNCTION("IF(I142="""","""",FILTER(DATOS!$D$4:$D$237,DATOS!$B$4:$B$237=I142))"),"13-089")</f>
        <v>13-089</v>
      </c>
      <c r="H142" s="50" t="str">
        <f ca="1">IFERROR(__xludf.DUMMYFUNCTION("IF(I142="""","""",FILTER(DATOS!$C$4:$C$237,DATOS!$B$4:$B$237=I142))"),"TEUSAQUILLO")</f>
        <v>TEUSAQUILLO</v>
      </c>
      <c r="I142" s="51" t="s">
        <v>59</v>
      </c>
      <c r="J142" s="29" t="s">
        <v>147</v>
      </c>
      <c r="K142" s="30">
        <v>48942537</v>
      </c>
      <c r="L142" s="8"/>
    </row>
    <row r="143" spans="1:12">
      <c r="A143" s="197"/>
      <c r="B143" s="197"/>
      <c r="C143" s="197"/>
      <c r="D143" s="197"/>
      <c r="E143" s="197"/>
      <c r="F143" s="197"/>
      <c r="G143" s="50" t="str">
        <f ca="1">IFERROR(__xludf.DUMMYFUNCTION("IF(I143="""","""",FILTER(DATOS!$D$4:$D$237,DATOS!$B$4:$B$237=I143))"),"13-122")</f>
        <v>13-122</v>
      </c>
      <c r="H143" s="50" t="str">
        <f ca="1">IFERROR(__xludf.DUMMYFUNCTION("IF(I143="""","""",FILTER(DATOS!$C$4:$C$237,DATOS!$B$4:$B$237=I143))"),"TEUSAQUILLO")</f>
        <v>TEUSAQUILLO</v>
      </c>
      <c r="I143" s="31" t="s">
        <v>32</v>
      </c>
      <c r="J143" s="29" t="s">
        <v>147</v>
      </c>
      <c r="K143" s="30">
        <v>68519552</v>
      </c>
      <c r="L143" s="8"/>
    </row>
    <row r="144" spans="1:12" ht="15.75" customHeight="1">
      <c r="A144" s="197"/>
      <c r="B144" s="197"/>
      <c r="C144" s="197"/>
      <c r="D144" s="197"/>
      <c r="E144" s="197"/>
      <c r="F144" s="197"/>
      <c r="G144" s="50" t="str">
        <f ca="1">IFERROR(__xludf.DUMMYFUNCTION("IF(I144="""","""",FILTER(DATOS!$D$4:$D$237,DATOS!$B$4:$B$237=I144))"),"13-123")</f>
        <v>13-123</v>
      </c>
      <c r="H144" s="50" t="str">
        <f ca="1">IFERROR(__xludf.DUMMYFUNCTION("IF(I144="""","""",FILTER(DATOS!$C$4:$C$237,DATOS!$B$4:$B$237=I144))"),"TEUSAQUILLO")</f>
        <v>TEUSAQUILLO</v>
      </c>
      <c r="I144" s="31" t="s">
        <v>23</v>
      </c>
      <c r="J144" s="29" t="s">
        <v>147</v>
      </c>
      <c r="K144" s="30">
        <v>9788507</v>
      </c>
      <c r="L144" s="8"/>
    </row>
    <row r="145" spans="1:12" ht="15.75" customHeight="1">
      <c r="A145" s="197"/>
      <c r="B145" s="197"/>
      <c r="C145" s="197"/>
      <c r="D145" s="197"/>
      <c r="E145" s="197"/>
      <c r="F145" s="197"/>
      <c r="G145" s="50" t="str">
        <f ca="1">IFERROR(__xludf.DUMMYFUNCTION("IF(I145="""","""",FILTER(DATOS!$D$4:$D$237,DATOS!$B$4:$B$237=I145))"),"01-075")</f>
        <v>01-075</v>
      </c>
      <c r="H145" s="50" t="str">
        <f ca="1">IFERROR(__xludf.DUMMYFUNCTION("IF(I145="""","""",FILTER(DATOS!$C$4:$C$237,DATOS!$B$4:$B$237=I145))"),"USAQUEN")</f>
        <v>USAQUEN</v>
      </c>
      <c r="I145" s="40" t="s">
        <v>20</v>
      </c>
      <c r="J145" s="29" t="s">
        <v>147</v>
      </c>
      <c r="K145" s="30">
        <v>9788507</v>
      </c>
      <c r="L145" s="8"/>
    </row>
    <row r="146" spans="1:12" ht="15.75" customHeight="1">
      <c r="A146" s="197"/>
      <c r="B146" s="197"/>
      <c r="C146" s="197"/>
      <c r="D146" s="197"/>
      <c r="E146" s="197"/>
      <c r="F146" s="197"/>
      <c r="G146" s="50" t="str">
        <f ca="1">IFERROR(__xludf.DUMMYFUNCTION("IF(I146="""","""",FILTER(DATOS!$D$4:$D$237,DATOS!$B$4:$B$237=I146))"),"01-023")</f>
        <v>01-023</v>
      </c>
      <c r="H146" s="50" t="str">
        <f ca="1">IFERROR(__xludf.DUMMYFUNCTION("IF(I146="""","""",FILTER(DATOS!$C$4:$C$237,DATOS!$B$4:$B$237=I146))"),"USAQUEN")</f>
        <v>USAQUEN</v>
      </c>
      <c r="I146" s="40" t="s">
        <v>58</v>
      </c>
      <c r="J146" s="29" t="s">
        <v>147</v>
      </c>
      <c r="K146" s="30">
        <v>9788507</v>
      </c>
      <c r="L146" s="8"/>
    </row>
    <row r="147" spans="1:12" ht="15.75" customHeight="1">
      <c r="A147" s="197"/>
      <c r="B147" s="197"/>
      <c r="C147" s="197"/>
      <c r="D147" s="197"/>
      <c r="E147" s="197"/>
      <c r="F147" s="197"/>
      <c r="G147" s="50" t="str">
        <f ca="1">IFERROR(__xludf.DUMMYFUNCTION("IF(I147="""","""",FILTER(DATOS!$D$4:$D$237,DATOS!$B$4:$B$237=I147))"),"10-018")</f>
        <v>10-018</v>
      </c>
      <c r="H147" s="50" t="str">
        <f ca="1">IFERROR(__xludf.DUMMYFUNCTION("IF(I147="""","""",FILTER(DATOS!$C$4:$C$237,DATOS!$B$4:$B$237=I147))"),"ENGATIVA")</f>
        <v>ENGATIVA</v>
      </c>
      <c r="I147" s="37" t="s">
        <v>64</v>
      </c>
      <c r="J147" s="29" t="s">
        <v>147</v>
      </c>
      <c r="K147" s="30">
        <v>9788507</v>
      </c>
      <c r="L147" s="8"/>
    </row>
    <row r="148" spans="1:12" ht="15.75" customHeight="1">
      <c r="A148" s="197"/>
      <c r="B148" s="197"/>
      <c r="C148" s="197"/>
      <c r="D148" s="197"/>
      <c r="E148" s="197"/>
      <c r="F148" s="197"/>
      <c r="G148" s="50" t="str">
        <f ca="1">IFERROR(__xludf.DUMMYFUNCTION("IF(I148="""","""",FILTER(DATOS!$D$4:$D$237,DATOS!$B$4:$B$237=I148))"),"10-102")</f>
        <v>10-102</v>
      </c>
      <c r="H148" s="50" t="str">
        <f ca="1">IFERROR(__xludf.DUMMYFUNCTION("IF(I148="""","""",FILTER(DATOS!$C$4:$C$237,DATOS!$B$4:$B$237=I148))"),"ENGATIVA")</f>
        <v>ENGATIVA</v>
      </c>
      <c r="I148" s="37" t="s">
        <v>65</v>
      </c>
      <c r="J148" s="29" t="s">
        <v>147</v>
      </c>
      <c r="K148" s="30">
        <v>9788507</v>
      </c>
      <c r="L148" s="8"/>
    </row>
    <row r="149" spans="1:12" ht="15.75" customHeight="1">
      <c r="A149" s="197"/>
      <c r="B149" s="197"/>
      <c r="C149" s="197"/>
      <c r="D149" s="197"/>
      <c r="E149" s="197"/>
      <c r="F149" s="197"/>
      <c r="G149" s="50" t="str">
        <f ca="1">IFERROR(__xludf.DUMMYFUNCTION("IF(I149="""","""",FILTER(DATOS!$D$4:$D$237,DATOS!$B$4:$B$237=I149))"),"10-169")</f>
        <v>10-169</v>
      </c>
      <c r="H149" s="50" t="str">
        <f ca="1">IFERROR(__xludf.DUMMYFUNCTION("IF(I149="""","""",FILTER(DATOS!$C$4:$C$237,DATOS!$B$4:$B$237=I149))"),"ENGATIVA")</f>
        <v>ENGATIVA</v>
      </c>
      <c r="I149" s="51" t="s">
        <v>30</v>
      </c>
      <c r="J149" s="29" t="s">
        <v>147</v>
      </c>
      <c r="K149" s="30">
        <v>9788507</v>
      </c>
      <c r="L149" s="8"/>
    </row>
    <row r="150" spans="1:12" ht="15.75" customHeight="1">
      <c r="A150" s="197"/>
      <c r="B150" s="197"/>
      <c r="C150" s="197"/>
      <c r="D150" s="197"/>
      <c r="E150" s="197"/>
      <c r="F150" s="197"/>
      <c r="G150" s="50" t="str">
        <f ca="1">IFERROR(__xludf.DUMMYFUNCTION("IF(I150="""","""",FILTER(DATOS!$D$4:$D$237,DATOS!$B$4:$B$237=I150))"),"10-192")</f>
        <v>10-192</v>
      </c>
      <c r="H150" s="50" t="str">
        <f ca="1">IFERROR(__xludf.DUMMYFUNCTION("IF(I150="""","""",FILTER(DATOS!$C$4:$C$237,DATOS!$B$4:$B$237=I150))"),"ENGATIVA")</f>
        <v>ENGATIVA</v>
      </c>
      <c r="I150" s="51" t="s">
        <v>33</v>
      </c>
      <c r="J150" s="29" t="s">
        <v>147</v>
      </c>
      <c r="K150" s="30">
        <v>9788507</v>
      </c>
      <c r="L150" s="8"/>
    </row>
    <row r="151" spans="1:12" ht="15.75" customHeight="1">
      <c r="A151" s="197"/>
      <c r="B151" s="197"/>
      <c r="C151" s="197"/>
      <c r="D151" s="197"/>
      <c r="E151" s="197"/>
      <c r="F151" s="197"/>
      <c r="G151" s="50" t="str">
        <f ca="1">IFERROR(__xludf.DUMMYFUNCTION("IF(I151="""","""",FILTER(DATOS!$D$4:$D$237,DATOS!$B$4:$B$237=I151))"),"10-223")</f>
        <v>10-223</v>
      </c>
      <c r="H151" s="50" t="str">
        <f ca="1">IFERROR(__xludf.DUMMYFUNCTION("IF(I151="""","""",FILTER(DATOS!$C$4:$C$237,DATOS!$B$4:$B$237=I151))"),"ENGATIVA")</f>
        <v>ENGATIVA</v>
      </c>
      <c r="I151" s="51" t="s">
        <v>41</v>
      </c>
      <c r="J151" s="29" t="s">
        <v>147</v>
      </c>
      <c r="K151" s="30">
        <v>9788507</v>
      </c>
      <c r="L151" s="8"/>
    </row>
    <row r="152" spans="1:12" ht="15.75" customHeight="1">
      <c r="A152" s="197"/>
      <c r="B152" s="197"/>
      <c r="C152" s="197"/>
      <c r="D152" s="197"/>
      <c r="E152" s="197"/>
      <c r="F152" s="197"/>
      <c r="G152" s="50" t="str">
        <f ca="1">IFERROR(__xludf.DUMMYFUNCTION("IF(I152="""","""",FILTER(DATOS!$D$4:$D$237,DATOS!$B$4:$B$237=I152))"),"10-234")</f>
        <v>10-234</v>
      </c>
      <c r="H152" s="50" t="str">
        <f ca="1">IFERROR(__xludf.DUMMYFUNCTION("IF(I152="""","""",FILTER(DATOS!$C$4:$C$237,DATOS!$B$4:$B$237=I152))"),"ENGATIVA")</f>
        <v>ENGATIVA</v>
      </c>
      <c r="I152" s="51" t="s">
        <v>56</v>
      </c>
      <c r="J152" s="29" t="s">
        <v>147</v>
      </c>
      <c r="K152" s="30">
        <v>39154030</v>
      </c>
      <c r="L152" s="8"/>
    </row>
    <row r="153" spans="1:12" ht="15.75" customHeight="1">
      <c r="A153" s="197"/>
      <c r="B153" s="197"/>
      <c r="C153" s="197"/>
      <c r="D153" s="197"/>
      <c r="E153" s="197"/>
      <c r="F153" s="197"/>
      <c r="G153" s="50" t="str">
        <f ca="1">IFERROR(__xludf.DUMMYFUNCTION("IF(I153="""","""",FILTER(DATOS!$D$4:$D$237,DATOS!$B$4:$B$237=I153))"),"11-078")</f>
        <v>11-078</v>
      </c>
      <c r="H153" s="50" t="str">
        <f ca="1">IFERROR(__xludf.DUMMYFUNCTION("IF(I153="""","""",FILTER(DATOS!$C$4:$C$237,DATOS!$B$4:$B$237=I153))"),"SUBA")</f>
        <v>SUBA</v>
      </c>
      <c r="I153" s="51" t="s">
        <v>149</v>
      </c>
      <c r="J153" s="29" t="s">
        <v>147</v>
      </c>
      <c r="K153" s="30">
        <v>9788507</v>
      </c>
      <c r="L153" s="8"/>
    </row>
    <row r="154" spans="1:12" ht="15.75" customHeight="1">
      <c r="A154" s="197"/>
      <c r="B154" s="197"/>
      <c r="C154" s="197"/>
      <c r="D154" s="197"/>
      <c r="E154" s="197"/>
      <c r="F154" s="197"/>
      <c r="G154" s="50" t="str">
        <f ca="1">IFERROR(__xludf.DUMMYFUNCTION("IF(I154="""","""",FILTER(DATOS!$D$4:$D$237,DATOS!$B$4:$B$237=I154))"),"11-368")</f>
        <v>11-368</v>
      </c>
      <c r="H154" s="50" t="str">
        <f ca="1">IFERROR(__xludf.DUMMYFUNCTION("IF(I154="""","""",FILTER(DATOS!$C$4:$C$237,DATOS!$B$4:$B$237=I154))"),"SUBA")</f>
        <v>SUBA</v>
      </c>
      <c r="I154" s="31" t="s">
        <v>34</v>
      </c>
      <c r="J154" s="29" t="s">
        <v>147</v>
      </c>
      <c r="K154" s="30">
        <v>58731045</v>
      </c>
      <c r="L154" s="8"/>
    </row>
    <row r="155" spans="1:12" ht="15.75" customHeight="1">
      <c r="A155" s="197"/>
      <c r="B155" s="197"/>
      <c r="C155" s="197"/>
      <c r="D155" s="197"/>
      <c r="E155" s="197"/>
      <c r="F155" s="197"/>
      <c r="G155" s="50" t="str">
        <f ca="1">IFERROR(__xludf.DUMMYFUNCTION("IF(I155="""","""",FILTER(DATOS!$D$4:$D$237,DATOS!$B$4:$B$237=I155))"),"11-212")</f>
        <v>11-212</v>
      </c>
      <c r="H155" s="50" t="str">
        <f ca="1">IFERROR(__xludf.DUMMYFUNCTION("IF(I155="""","""",FILTER(DATOS!$C$4:$C$237,DATOS!$B$4:$B$237=I155))"),"SUBA")</f>
        <v>SUBA</v>
      </c>
      <c r="I155" s="31" t="s">
        <v>27</v>
      </c>
      <c r="J155" s="29" t="s">
        <v>147</v>
      </c>
      <c r="K155" s="30">
        <v>19577015</v>
      </c>
      <c r="L155" s="8"/>
    </row>
    <row r="156" spans="1:12" ht="15.75" customHeight="1">
      <c r="A156" s="197"/>
      <c r="B156" s="197"/>
      <c r="C156" s="197"/>
      <c r="D156" s="197"/>
      <c r="E156" s="197"/>
      <c r="F156" s="197"/>
      <c r="G156" s="50" t="str">
        <f ca="1">IFERROR(__xludf.DUMMYFUNCTION("IF(I156="""","""",FILTER(DATOS!$D$4:$D$237,DATOS!$B$4:$B$237=I156))"),"12-015")</f>
        <v>12-015</v>
      </c>
      <c r="H156" s="50" t="str">
        <f ca="1">IFERROR(__xludf.DUMMYFUNCTION("IF(I156="""","""",FILTER(DATOS!$C$4:$C$237,DATOS!$B$4:$B$237=I156))"),"BARRIOS UNIDOS")</f>
        <v>BARRIOS UNIDOS</v>
      </c>
      <c r="I156" s="51" t="s">
        <v>19</v>
      </c>
      <c r="J156" s="29" t="s">
        <v>147</v>
      </c>
      <c r="K156" s="30">
        <v>9788507</v>
      </c>
      <c r="L156" s="8"/>
    </row>
    <row r="157" spans="1:12" ht="15.75" customHeight="1">
      <c r="A157" s="197"/>
      <c r="B157" s="197"/>
      <c r="C157" s="197"/>
      <c r="D157" s="197"/>
      <c r="E157" s="197"/>
      <c r="F157" s="197"/>
      <c r="G157" s="50" t="str">
        <f ca="1">IFERROR(__xludf.DUMMYFUNCTION("IF(I157="""","""",FILTER(DATOS!$D$4:$D$237,DATOS!$B$4:$B$237=I157))"),"12-023")</f>
        <v>12-023</v>
      </c>
      <c r="H157" s="50" t="str">
        <f ca="1">IFERROR(__xludf.DUMMYFUNCTION("IF(I157="""","""",FILTER(DATOS!$C$4:$C$237,DATOS!$B$4:$B$237=I157))"),"BARRIOS UNIDOS")</f>
        <v>BARRIOS UNIDOS</v>
      </c>
      <c r="I157" s="31" t="s">
        <v>36</v>
      </c>
      <c r="J157" s="29" t="s">
        <v>147</v>
      </c>
      <c r="K157" s="30">
        <v>9788507</v>
      </c>
      <c r="L157" s="8"/>
    </row>
    <row r="158" spans="1:12" ht="15.75" customHeight="1">
      <c r="A158" s="197"/>
      <c r="B158" s="197"/>
      <c r="C158" s="197"/>
      <c r="D158" s="197"/>
      <c r="E158" s="197"/>
      <c r="F158" s="197"/>
      <c r="G158" s="50" t="str">
        <f ca="1">IFERROR(__xludf.DUMMYFUNCTION("IF(I158="""","""",FILTER(DATOS!$D$4:$D$237,DATOS!$B$4:$B$237=I158))"),"15-036")</f>
        <v>15-036</v>
      </c>
      <c r="H158" s="50" t="str">
        <f ca="1">IFERROR(__xludf.DUMMYFUNCTION("IF(I158="""","""",FILTER(DATOS!$C$4:$C$237,DATOS!$B$4:$B$237=I158))"),"ANTONIO NARIÑO")</f>
        <v>ANTONIO NARIÑO</v>
      </c>
      <c r="I158" s="37" t="s">
        <v>137</v>
      </c>
      <c r="J158" s="29" t="s">
        <v>147</v>
      </c>
      <c r="K158" s="30">
        <v>19577015</v>
      </c>
      <c r="L158" s="8"/>
    </row>
    <row r="159" spans="1:12" ht="15.75" customHeight="1">
      <c r="A159" s="197"/>
      <c r="B159" s="197"/>
      <c r="C159" s="197"/>
      <c r="D159" s="197"/>
      <c r="E159" s="197"/>
      <c r="F159" s="197"/>
      <c r="G159" s="50" t="str">
        <f ca="1">IFERROR(__xludf.DUMMYFUNCTION("IF(I159="""","""",FILTER(DATOS!$D$4:$D$237,DATOS!$B$4:$B$237=I159))"),"19-346")</f>
        <v>19-346</v>
      </c>
      <c r="H159" s="50" t="str">
        <f ca="1">IFERROR(__xludf.DUMMYFUNCTION("IF(I159="""","""",FILTER(DATOS!$C$4:$C$237,DATOS!$B$4:$B$237=I159))"),"CIUDAD BOLIVAR")</f>
        <v>CIUDAD BOLIVAR</v>
      </c>
      <c r="I159" s="37" t="s">
        <v>99</v>
      </c>
      <c r="J159" s="29" t="s">
        <v>147</v>
      </c>
      <c r="K159" s="30">
        <v>29365522</v>
      </c>
      <c r="L159" s="8"/>
    </row>
    <row r="160" spans="1:12" ht="15.75" customHeight="1">
      <c r="A160" s="197"/>
      <c r="B160" s="197"/>
      <c r="C160" s="197"/>
      <c r="D160" s="197"/>
      <c r="E160" s="197"/>
      <c r="F160" s="197"/>
      <c r="G160" s="50" t="str">
        <f ca="1">IFERROR(__xludf.DUMMYFUNCTION("IF(I160="""","""",FILTER(DATOS!$D$4:$D$237,DATOS!$B$4:$B$237=I160))"),"05-002")</f>
        <v>05-002</v>
      </c>
      <c r="H160" s="50" t="str">
        <f ca="1">IFERROR(__xludf.DUMMYFUNCTION("IF(I160="""","""",FILTER(DATOS!$C$4:$C$237,DATOS!$B$4:$B$237=I160))"),"USME")</f>
        <v>USME</v>
      </c>
      <c r="I160" s="40" t="s">
        <v>102</v>
      </c>
      <c r="J160" s="29" t="s">
        <v>147</v>
      </c>
      <c r="K160" s="30">
        <v>9788507</v>
      </c>
      <c r="L160" s="8"/>
    </row>
    <row r="161" spans="1:12" ht="15.75" customHeight="1">
      <c r="A161" s="197"/>
      <c r="B161" s="197"/>
      <c r="C161" s="197"/>
      <c r="D161" s="197"/>
      <c r="E161" s="197"/>
      <c r="F161" s="197"/>
      <c r="G161" s="50" t="str">
        <f ca="1">IFERROR(__xludf.DUMMYFUNCTION("IF(I161="""","""",FILTER(DATOS!$D$4:$D$237,DATOS!$B$4:$B$237=I161))"),"05-003")</f>
        <v>05-003</v>
      </c>
      <c r="H161" s="50" t="str">
        <f ca="1">IFERROR(__xludf.DUMMYFUNCTION("IF(I161="""","""",FILTER(DATOS!$C$4:$C$237,DATOS!$B$4:$B$237=I161))"),"USME")</f>
        <v>USME</v>
      </c>
      <c r="I161" s="40" t="s">
        <v>133</v>
      </c>
      <c r="J161" s="29" t="s">
        <v>147</v>
      </c>
      <c r="K161" s="30">
        <v>9788507</v>
      </c>
      <c r="L161" s="8"/>
    </row>
    <row r="162" spans="1:12" ht="15.75" customHeight="1">
      <c r="A162" s="197"/>
      <c r="B162" s="197"/>
      <c r="C162" s="197"/>
      <c r="D162" s="197"/>
      <c r="E162" s="197"/>
      <c r="F162" s="197"/>
      <c r="G162" s="50" t="str">
        <f ca="1">IFERROR(__xludf.DUMMYFUNCTION("IF(I162="""","""",FILTER(DATOS!$D$4:$D$237,DATOS!$B$4:$B$237=I162))"),"05-004")</f>
        <v>05-004</v>
      </c>
      <c r="H162" s="50" t="str">
        <f ca="1">IFERROR(__xludf.DUMMYFUNCTION("IF(I162="""","""",FILTER(DATOS!$C$4:$C$237,DATOS!$B$4:$B$237=I162))"),"USME")</f>
        <v>USME</v>
      </c>
      <c r="I162" s="40" t="s">
        <v>101</v>
      </c>
      <c r="J162" s="29" t="s">
        <v>147</v>
      </c>
      <c r="K162" s="30">
        <v>9788507</v>
      </c>
      <c r="L162" s="8"/>
    </row>
    <row r="163" spans="1:12" ht="15.75" customHeight="1">
      <c r="A163" s="197"/>
      <c r="B163" s="197"/>
      <c r="C163" s="197"/>
      <c r="D163" s="197"/>
      <c r="E163" s="197"/>
      <c r="F163" s="197"/>
      <c r="G163" s="50" t="str">
        <f ca="1">IFERROR(__xludf.DUMMYFUNCTION("IF(I163="""","""",FILTER(DATOS!$D$4:$D$237,DATOS!$B$4:$B$237=I163))"),"05-016")</f>
        <v>05-016</v>
      </c>
      <c r="H163" s="50" t="str">
        <f ca="1">IFERROR(__xludf.DUMMYFUNCTION("IF(I163="""","""",FILTER(DATOS!$C$4:$C$237,DATOS!$B$4:$B$237=I163))"),"USME")</f>
        <v>USME</v>
      </c>
      <c r="I163" s="40" t="s">
        <v>89</v>
      </c>
      <c r="J163" s="29" t="s">
        <v>147</v>
      </c>
      <c r="K163" s="30">
        <v>19577015</v>
      </c>
      <c r="L163" s="8"/>
    </row>
    <row r="164" spans="1:12" ht="15.75" customHeight="1">
      <c r="A164" s="197"/>
      <c r="B164" s="197"/>
      <c r="C164" s="197"/>
      <c r="D164" s="197"/>
      <c r="E164" s="197"/>
      <c r="F164" s="197"/>
      <c r="G164" s="50" t="str">
        <f ca="1">IFERROR(__xludf.DUMMYFUNCTION("IF(I164="""","""",FILTER(DATOS!$D$4:$D$237,DATOS!$B$4:$B$237=I164))"),"05-087")</f>
        <v>05-087</v>
      </c>
      <c r="H164" s="50" t="str">
        <f ca="1">IFERROR(__xludf.DUMMYFUNCTION("IF(I164="""","""",FILTER(DATOS!$C$4:$C$237,DATOS!$B$4:$B$237=I164))"),"USME")</f>
        <v>USME</v>
      </c>
      <c r="I164" s="40" t="s">
        <v>135</v>
      </c>
      <c r="J164" s="29" t="s">
        <v>147</v>
      </c>
      <c r="K164" s="30">
        <v>9788507</v>
      </c>
      <c r="L164" s="8"/>
    </row>
    <row r="165" spans="1:12" ht="15.75" customHeight="1">
      <c r="A165" s="197"/>
      <c r="B165" s="197"/>
      <c r="C165" s="197"/>
      <c r="D165" s="197"/>
      <c r="E165" s="197"/>
      <c r="F165" s="197"/>
      <c r="G165" s="50" t="str">
        <f ca="1">IFERROR(__xludf.DUMMYFUNCTION("IF(I165="""","""",FILTER(DATOS!$D$4:$D$237,DATOS!$B$4:$B$237=I165))"),"05-236")</f>
        <v>05-236</v>
      </c>
      <c r="H165" s="50" t="str">
        <f ca="1">IFERROR(__xludf.DUMMYFUNCTION("IF(I165="""","""",FILTER(DATOS!$C$4:$C$237,DATOS!$B$4:$B$237=I165))"),"USME")</f>
        <v>USME</v>
      </c>
      <c r="I165" s="40" t="s">
        <v>122</v>
      </c>
      <c r="J165" s="29" t="s">
        <v>147</v>
      </c>
      <c r="K165" s="30">
        <v>9788507</v>
      </c>
      <c r="L165" s="8"/>
    </row>
    <row r="166" spans="1:12" ht="15.75" customHeight="1">
      <c r="A166" s="197"/>
      <c r="B166" s="197"/>
      <c r="C166" s="197"/>
      <c r="D166" s="197"/>
      <c r="E166" s="197"/>
      <c r="F166" s="197"/>
      <c r="G166" s="50" t="str">
        <f ca="1">IFERROR(__xludf.DUMMYFUNCTION("IF(I166="""","""",FILTER(DATOS!$D$4:$D$237,DATOS!$B$4:$B$237=I166))"),"06-017")</f>
        <v>06-017</v>
      </c>
      <c r="H166" s="50" t="str">
        <f ca="1">IFERROR(__xludf.DUMMYFUNCTION("IF(I166="""","""",FILTER(DATOS!$C$4:$C$237,DATOS!$B$4:$B$237=I166))"),"TUNJUELITO")</f>
        <v>TUNJUELITO</v>
      </c>
      <c r="I166" s="37" t="s">
        <v>117</v>
      </c>
      <c r="J166" s="29" t="s">
        <v>147</v>
      </c>
      <c r="K166" s="30">
        <v>9788507</v>
      </c>
      <c r="L166" s="8"/>
    </row>
    <row r="167" spans="1:12" ht="15.75" customHeight="1">
      <c r="A167" s="197"/>
      <c r="B167" s="197"/>
      <c r="C167" s="197"/>
      <c r="D167" s="197"/>
      <c r="E167" s="197"/>
      <c r="F167" s="197"/>
      <c r="G167" s="50" t="str">
        <f ca="1">IFERROR(__xludf.DUMMYFUNCTION("IF(I167="""","""",FILTER(DATOS!$D$4:$D$237,DATOS!$B$4:$B$237=I167))"),"06-063")</f>
        <v>06-063</v>
      </c>
      <c r="H167" s="50" t="str">
        <f ca="1">IFERROR(__xludf.DUMMYFUNCTION("IF(I167="""","""",FILTER(DATOS!$C$4:$C$237,DATOS!$B$4:$B$237=I167))"),"TUNJUELITO")</f>
        <v>TUNJUELITO</v>
      </c>
      <c r="I167" s="51" t="s">
        <v>87</v>
      </c>
      <c r="J167" s="29" t="s">
        <v>147</v>
      </c>
      <c r="K167" s="30">
        <v>127250596</v>
      </c>
      <c r="L167" s="8"/>
    </row>
    <row r="168" spans="1:12" ht="15.75" customHeight="1">
      <c r="A168" s="197"/>
      <c r="B168" s="197"/>
      <c r="C168" s="197"/>
      <c r="D168" s="197"/>
      <c r="E168" s="197"/>
      <c r="F168" s="197"/>
      <c r="G168" s="50" t="str">
        <f ca="1">IFERROR(__xludf.DUMMYFUNCTION("IF(I168="""","""",FILTER(DATOS!$D$4:$D$237,DATOS!$B$4:$B$237=I168))"),"07-036")</f>
        <v>07-036</v>
      </c>
      <c r="H168" s="50" t="str">
        <f ca="1">IFERROR(__xludf.DUMMYFUNCTION("IF(I168="""","""",FILTER(DATOS!$C$4:$C$237,DATOS!$B$4:$B$237=I168))"),"BOSA")</f>
        <v>BOSA</v>
      </c>
      <c r="I168" s="28" t="s">
        <v>131</v>
      </c>
      <c r="J168" s="29" t="s">
        <v>147</v>
      </c>
      <c r="K168" s="30">
        <v>58731045</v>
      </c>
      <c r="L168" s="8"/>
    </row>
    <row r="169" spans="1:12" ht="15.75" customHeight="1">
      <c r="A169" s="197"/>
      <c r="B169" s="197"/>
      <c r="C169" s="197"/>
      <c r="D169" s="197"/>
      <c r="E169" s="197"/>
      <c r="F169" s="197"/>
      <c r="G169" s="50" t="str">
        <f ca="1">IFERROR(__xludf.DUMMYFUNCTION("IF(I169="""","""",FILTER(DATOS!$D$4:$D$237,DATOS!$B$4:$B$237=I169))"),"18-028")</f>
        <v>18-028</v>
      </c>
      <c r="H169" s="50" t="str">
        <f ca="1">IFERROR(__xludf.DUMMYFUNCTION("IF(I169="""","""",FILTER(DATOS!$C$4:$C$237,DATOS!$B$4:$B$237=I169))"),"RAFAEL URIBE")</f>
        <v>RAFAEL URIBE</v>
      </c>
      <c r="I169" s="51" t="s">
        <v>74</v>
      </c>
      <c r="J169" s="29" t="s">
        <v>147</v>
      </c>
      <c r="K169" s="30">
        <v>29365522</v>
      </c>
      <c r="L169" s="8"/>
    </row>
    <row r="170" spans="1:12" ht="15.75" customHeight="1">
      <c r="A170" s="197"/>
      <c r="B170" s="197"/>
      <c r="C170" s="197"/>
      <c r="D170" s="197"/>
      <c r="E170" s="197"/>
      <c r="F170" s="197"/>
      <c r="G170" s="50" t="str">
        <f ca="1">IFERROR(__xludf.DUMMYFUNCTION("IF(I170="""","""",FILTER(DATOS!$D$4:$D$237,DATOS!$B$4:$B$237=I170))"),"18-162")</f>
        <v>18-162</v>
      </c>
      <c r="H170" s="50" t="str">
        <f ca="1">IFERROR(__xludf.DUMMYFUNCTION("IF(I170="""","""",FILTER(DATOS!$C$4:$C$237,DATOS!$B$4:$B$237=I170))"),"RAFAEL URIBE")</f>
        <v>RAFAEL URIBE</v>
      </c>
      <c r="I170" s="37" t="s">
        <v>113</v>
      </c>
      <c r="J170" s="29" t="s">
        <v>147</v>
      </c>
      <c r="K170" s="30">
        <v>9788507</v>
      </c>
      <c r="L170" s="8"/>
    </row>
    <row r="171" spans="1:12" ht="15.75" customHeight="1">
      <c r="A171" s="197"/>
      <c r="B171" s="197"/>
      <c r="C171" s="197"/>
      <c r="D171" s="197"/>
      <c r="E171" s="197"/>
      <c r="F171" s="197"/>
      <c r="G171" s="50" t="str">
        <f ca="1">IFERROR(__xludf.DUMMYFUNCTION("IF(I171="""","""",FILTER(DATOS!$D$4:$D$237,DATOS!$B$4:$B$237=I171))"),"18-205")</f>
        <v>18-205</v>
      </c>
      <c r="H171" s="50" t="str">
        <f ca="1">IFERROR(__xludf.DUMMYFUNCTION("IF(I171="""","""",FILTER(DATOS!$C$4:$C$237,DATOS!$B$4:$B$237=I171))"),"RAFAEL URIBE")</f>
        <v>RAFAEL URIBE</v>
      </c>
      <c r="I171" s="37" t="s">
        <v>121</v>
      </c>
      <c r="J171" s="29" t="s">
        <v>147</v>
      </c>
      <c r="K171" s="30">
        <v>9788507</v>
      </c>
      <c r="L171" s="8"/>
    </row>
    <row r="172" spans="1:12" ht="15.75" customHeight="1">
      <c r="A172" s="197"/>
      <c r="B172" s="197"/>
      <c r="C172" s="197"/>
      <c r="D172" s="197"/>
      <c r="E172" s="197"/>
      <c r="F172" s="197"/>
      <c r="G172" s="50" t="str">
        <f ca="1">IFERROR(__xludf.DUMMYFUNCTION("IF(I172="""","""",FILTER(DATOS!$D$4:$D$237,DATOS!$B$4:$B$237=I172))"),"19-188")</f>
        <v>19-188</v>
      </c>
      <c r="H172" s="50" t="str">
        <f ca="1">IFERROR(__xludf.DUMMYFUNCTION("IF(I172="""","""",FILTER(DATOS!$C$4:$C$237,DATOS!$B$4:$B$237=I172))"),"CIUDAD BOLIVAR")</f>
        <v>CIUDAD BOLIVAR</v>
      </c>
      <c r="I172" s="51" t="s">
        <v>72</v>
      </c>
      <c r="J172" s="29" t="s">
        <v>147</v>
      </c>
      <c r="K172" s="30">
        <v>19577015</v>
      </c>
      <c r="L172" s="8"/>
    </row>
    <row r="173" spans="1:12" ht="15.75" customHeight="1">
      <c r="A173" s="197"/>
      <c r="B173" s="197"/>
      <c r="C173" s="197"/>
      <c r="D173" s="197"/>
      <c r="E173" s="197"/>
      <c r="F173" s="197"/>
      <c r="G173" s="50" t="str">
        <f ca="1">IFERROR(__xludf.DUMMYFUNCTION("IF(I173="""","""",FILTER(DATOS!$D$4:$D$237,DATOS!$B$4:$B$237=I173))"),"19-189")</f>
        <v>19-189</v>
      </c>
      <c r="H173" s="50" t="str">
        <f ca="1">IFERROR(__xludf.DUMMYFUNCTION("IF(I173="""","""",FILTER(DATOS!$C$4:$C$237,DATOS!$B$4:$B$237=I173))"),"CIUDAD BOLIVAR")</f>
        <v>CIUDAD BOLIVAR</v>
      </c>
      <c r="I173" s="37" t="s">
        <v>76</v>
      </c>
      <c r="J173" s="29" t="s">
        <v>147</v>
      </c>
      <c r="K173" s="30">
        <v>19577015</v>
      </c>
      <c r="L173" s="8"/>
    </row>
    <row r="174" spans="1:12" ht="15.75" customHeight="1">
      <c r="A174" s="197"/>
      <c r="B174" s="197"/>
      <c r="C174" s="197"/>
      <c r="D174" s="197"/>
      <c r="E174" s="197"/>
      <c r="F174" s="197"/>
      <c r="G174" s="50" t="str">
        <f ca="1">IFERROR(__xludf.DUMMYFUNCTION("IF(I174="""","""",FILTER(DATOS!$D$4:$D$237,DATOS!$B$4:$B$237=I174))"),"19-230")</f>
        <v>19-230</v>
      </c>
      <c r="H174" s="50" t="str">
        <f ca="1">IFERROR(__xludf.DUMMYFUNCTION("IF(I174="""","""",FILTER(DATOS!$C$4:$C$237,DATOS!$B$4:$B$237=I174))"),"CIUDAD BOLIVAR")</f>
        <v>CIUDAD BOLIVAR</v>
      </c>
      <c r="I174" s="51" t="s">
        <v>111</v>
      </c>
      <c r="J174" s="29" t="s">
        <v>147</v>
      </c>
      <c r="K174" s="30">
        <v>19577015</v>
      </c>
      <c r="L174" s="8"/>
    </row>
    <row r="175" spans="1:12" ht="15.75" customHeight="1">
      <c r="A175" s="197"/>
      <c r="B175" s="197"/>
      <c r="C175" s="197"/>
      <c r="D175" s="197"/>
      <c r="E175" s="197"/>
      <c r="F175" s="197"/>
      <c r="G175" s="50" t="str">
        <f ca="1">IFERROR(__xludf.DUMMYFUNCTION("IF(I175="""","""",FILTER(DATOS!$D$4:$D$237,DATOS!$B$4:$B$237=I175))"),"03-035")</f>
        <v>03-035</v>
      </c>
      <c r="H175" s="50" t="str">
        <f ca="1">IFERROR(__xludf.DUMMYFUNCTION("IF(I175="""","""",FILTER(DATOS!$C$4:$C$237,DATOS!$B$4:$B$237=I175))"),"SANTAFE")</f>
        <v>SANTAFE</v>
      </c>
      <c r="I175" s="28" t="s">
        <v>46</v>
      </c>
      <c r="J175" s="29" t="s">
        <v>147</v>
      </c>
      <c r="K175" s="30">
        <v>97885074</v>
      </c>
      <c r="L175" s="8"/>
    </row>
    <row r="176" spans="1:12" ht="15.75" customHeight="1">
      <c r="A176" s="197"/>
      <c r="B176" s="197"/>
      <c r="C176" s="197"/>
      <c r="D176" s="197"/>
      <c r="E176" s="197"/>
      <c r="F176" s="197"/>
      <c r="G176" s="50" t="str">
        <f ca="1">IFERROR(__xludf.DUMMYFUNCTION("IF(I176="""","""",FILTER(DATOS!$D$4:$D$237,DATOS!$B$4:$B$237=I176))"),"03-036")</f>
        <v>03-036</v>
      </c>
      <c r="H176" s="50" t="str">
        <f ca="1">IFERROR(__xludf.DUMMYFUNCTION("IF(I176="""","""",FILTER(DATOS!$C$4:$C$237,DATOS!$B$4:$B$237=I176))"),"SANTAFE")</f>
        <v>SANTAFE</v>
      </c>
      <c r="I176" s="40" t="s">
        <v>109</v>
      </c>
      <c r="J176" s="29" t="s">
        <v>147</v>
      </c>
      <c r="K176" s="30">
        <v>9788507</v>
      </c>
      <c r="L176" s="8"/>
    </row>
    <row r="177" spans="1:12" ht="15.75" customHeight="1">
      <c r="A177" s="197"/>
      <c r="B177" s="197"/>
      <c r="C177" s="197"/>
      <c r="D177" s="197"/>
      <c r="E177" s="197"/>
      <c r="F177" s="197"/>
      <c r="G177" s="50" t="str">
        <f ca="1">IFERROR(__xludf.DUMMYFUNCTION("IF(I177="""","""",FILTER(DATOS!$D$4:$D$237,DATOS!$B$4:$B$237=I177))"),"03-039")</f>
        <v>03-039</v>
      </c>
      <c r="H177" s="50" t="str">
        <f ca="1">IFERROR(__xludf.DUMMYFUNCTION("IF(I177="""","""",FILTER(DATOS!$C$4:$C$237,DATOS!$B$4:$B$237=I177))"),"SANTAFE")</f>
        <v>SANTAFE</v>
      </c>
      <c r="I177" s="40" t="s">
        <v>40</v>
      </c>
      <c r="J177" s="29" t="s">
        <v>147</v>
      </c>
      <c r="K177" s="30">
        <v>19577015</v>
      </c>
      <c r="L177" s="8"/>
    </row>
    <row r="178" spans="1:12" ht="15.75" customHeight="1">
      <c r="A178" s="197"/>
      <c r="B178" s="197"/>
      <c r="C178" s="197"/>
      <c r="D178" s="197"/>
      <c r="E178" s="197"/>
      <c r="F178" s="197"/>
      <c r="G178" s="50" t="str">
        <f ca="1">IFERROR(__xludf.DUMMYFUNCTION("IF(I178="""","""",FILTER(DATOS!$D$4:$D$237,DATOS!$B$4:$B$237=I178))"),"04-075")</f>
        <v>04-075</v>
      </c>
      <c r="H178" s="50" t="str">
        <f ca="1">IFERROR(__xludf.DUMMYFUNCTION("IF(I178="""","""",FILTER(DATOS!$C$4:$C$237,DATOS!$B$4:$B$237=I178))"),"SAN CRISTOBAL")</f>
        <v>SAN CRISTOBAL</v>
      </c>
      <c r="I178" s="28" t="s">
        <v>136</v>
      </c>
      <c r="J178" s="29" t="s">
        <v>147</v>
      </c>
      <c r="K178" s="30">
        <v>9788507</v>
      </c>
      <c r="L178" s="8"/>
    </row>
    <row r="179" spans="1:12" ht="15.75" customHeight="1">
      <c r="A179" s="197"/>
      <c r="B179" s="197"/>
      <c r="C179" s="197"/>
      <c r="D179" s="197"/>
      <c r="E179" s="197"/>
      <c r="F179" s="197"/>
      <c r="G179" s="50" t="str">
        <f ca="1">IFERROR(__xludf.DUMMYFUNCTION("IF(I179="""","""",FILTER(DATOS!$D$4:$D$237,DATOS!$B$4:$B$237=I179))"),"04-103")</f>
        <v>04-103</v>
      </c>
      <c r="H179" s="50" t="str">
        <f ca="1">IFERROR(__xludf.DUMMYFUNCTION("IF(I179="""","""",FILTER(DATOS!$C$4:$C$237,DATOS!$B$4:$B$237=I179))"),"SAN CRISTOBAL")</f>
        <v>SAN CRISTOBAL</v>
      </c>
      <c r="I179" s="40" t="s">
        <v>95</v>
      </c>
      <c r="J179" s="29" t="s">
        <v>147</v>
      </c>
      <c r="K179" s="30">
        <v>19577015</v>
      </c>
      <c r="L179" s="8"/>
    </row>
    <row r="180" spans="1:12" ht="15.75" customHeight="1">
      <c r="A180" s="197"/>
      <c r="B180" s="197"/>
      <c r="C180" s="197"/>
      <c r="D180" s="197"/>
      <c r="E180" s="197"/>
      <c r="F180" s="197"/>
      <c r="G180" s="50" t="str">
        <f ca="1">IFERROR(__xludf.DUMMYFUNCTION("IF(I180="""","""",FILTER(DATOS!$D$4:$D$237,DATOS!$B$4:$B$237=I180))"),"04-127")</f>
        <v>04-127</v>
      </c>
      <c r="H180" s="50" t="str">
        <f ca="1">IFERROR(__xludf.DUMMYFUNCTION("IF(I180="""","""",FILTER(DATOS!$C$4:$C$237,DATOS!$B$4:$B$237=I180))"),"SAN CRISTOBAL")</f>
        <v>SAN CRISTOBAL</v>
      </c>
      <c r="I180" s="40" t="s">
        <v>123</v>
      </c>
      <c r="J180" s="29" t="s">
        <v>147</v>
      </c>
      <c r="K180" s="30">
        <v>48942537</v>
      </c>
      <c r="L180" s="8"/>
    </row>
    <row r="181" spans="1:12" ht="15.75" customHeight="1">
      <c r="A181" s="197"/>
      <c r="B181" s="197"/>
      <c r="C181" s="197"/>
      <c r="D181" s="197"/>
      <c r="E181" s="197"/>
      <c r="F181" s="197"/>
      <c r="G181" s="50" t="str">
        <f ca="1">IFERROR(__xludf.DUMMYFUNCTION("IF(I181="""","""",FILTER(DATOS!$D$4:$D$237,DATOS!$B$4:$B$237=I181))"),"04-196")</f>
        <v>04-196</v>
      </c>
      <c r="H181" s="50" t="str">
        <f ca="1">IFERROR(__xludf.DUMMYFUNCTION("IF(I181="""","""",FILTER(DATOS!$C$4:$C$237,DATOS!$B$4:$B$237=I181))"),"SAN CRISTOBAL")</f>
        <v>SAN CRISTOBAL</v>
      </c>
      <c r="I181" s="40" t="s">
        <v>134</v>
      </c>
      <c r="J181" s="29" t="s">
        <v>147</v>
      </c>
      <c r="K181" s="30">
        <v>29365522</v>
      </c>
      <c r="L181" s="8"/>
    </row>
    <row r="182" spans="1:12" ht="15" customHeight="1">
      <c r="A182" s="197"/>
      <c r="B182" s="197"/>
      <c r="C182" s="197"/>
      <c r="D182" s="197"/>
      <c r="E182" s="197"/>
      <c r="F182" s="197"/>
      <c r="G182" s="50" t="str">
        <f ca="1">IFERROR(__xludf.DUMMYFUNCTION("IF(I182="""","""",FILTER(DATOS!$D$4:$D$237,DATOS!$B$4:$B$237=I182))"),"14-036")</f>
        <v>14-036</v>
      </c>
      <c r="H182" s="50" t="str">
        <f ca="1">IFERROR(__xludf.DUMMYFUNCTION("IF(I182="""","""",FILTER(DATOS!$C$4:$C$237,DATOS!$B$4:$B$237=I182))"),"MARTIRES")</f>
        <v>MARTIRES</v>
      </c>
      <c r="I182" s="31" t="s">
        <v>55</v>
      </c>
      <c r="J182" s="29" t="s">
        <v>147</v>
      </c>
      <c r="K182" s="30">
        <v>9788507</v>
      </c>
      <c r="L182" s="8"/>
    </row>
    <row r="183" spans="1:12" ht="15.75" customHeight="1">
      <c r="A183" s="197"/>
      <c r="B183" s="197"/>
      <c r="C183" s="197"/>
      <c r="D183" s="197"/>
      <c r="E183" s="197"/>
      <c r="F183" s="197"/>
      <c r="G183" s="50" t="str">
        <f ca="1">IFERROR(__xludf.DUMMYFUNCTION("IF(I183="""","""",FILTER(DATOS!$D$4:$D$237,DATOS!$B$4:$B$237=I183))"),"16-024")</f>
        <v>16-024</v>
      </c>
      <c r="H183" s="50" t="str">
        <f ca="1">IFERROR(__xludf.DUMMYFUNCTION("IF(I183="""","""",FILTER(DATOS!$C$4:$C$237,DATOS!$B$4:$B$237=I183))"),"PUENTE ARANDA")</f>
        <v>PUENTE ARANDA</v>
      </c>
      <c r="I183" s="51" t="s">
        <v>91</v>
      </c>
      <c r="J183" s="29" t="s">
        <v>147</v>
      </c>
      <c r="K183" s="30">
        <v>9788507</v>
      </c>
      <c r="L183" s="8"/>
    </row>
    <row r="184" spans="1:12" ht="15.75" customHeight="1">
      <c r="A184" s="197"/>
      <c r="B184" s="197"/>
      <c r="C184" s="197"/>
      <c r="D184" s="197"/>
      <c r="E184" s="197"/>
      <c r="F184" s="197"/>
      <c r="G184" s="50" t="str">
        <f ca="1">IFERROR(__xludf.DUMMYFUNCTION("IF(I184="""","""",FILTER(DATOS!$D$4:$D$237,DATOS!$B$4:$B$237=I184))"),"16-112")</f>
        <v>16-112</v>
      </c>
      <c r="H184" s="50" t="str">
        <f ca="1">IFERROR(__xludf.DUMMYFUNCTION("IF(I184="""","""",FILTER(DATOS!$C$4:$C$237,DATOS!$B$4:$B$237=I184))"),"PUENTE ARANDA")</f>
        <v>PUENTE ARANDA</v>
      </c>
      <c r="I184" s="51" t="s">
        <v>79</v>
      </c>
      <c r="J184" s="29" t="s">
        <v>147</v>
      </c>
      <c r="K184" s="30">
        <v>39154030</v>
      </c>
      <c r="L184" s="8"/>
    </row>
    <row r="185" spans="1:12" ht="15.75" customHeight="1">
      <c r="A185" s="197"/>
      <c r="B185" s="197"/>
      <c r="C185" s="197"/>
      <c r="D185" s="197"/>
      <c r="E185" s="197"/>
      <c r="F185" s="197"/>
      <c r="G185" s="50" t="str">
        <f ca="1">IFERROR(__xludf.DUMMYFUNCTION("IF(I185="""","""",FILTER(DATOS!$D$4:$D$237,DATOS!$B$4:$B$237=I185))"),"16-204")</f>
        <v>16-204</v>
      </c>
      <c r="H185" s="50" t="str">
        <f ca="1">IFERROR(__xludf.DUMMYFUNCTION("IF(I185="""","""",FILTER(DATOS!$C$4:$C$237,DATOS!$B$4:$B$237=I185))"),"PUENTE ARANDA")</f>
        <v>PUENTE ARANDA</v>
      </c>
      <c r="I185" s="51" t="s">
        <v>83</v>
      </c>
      <c r="J185" s="29" t="s">
        <v>147</v>
      </c>
      <c r="K185" s="30">
        <v>19577015</v>
      </c>
      <c r="L185" s="8"/>
    </row>
    <row r="186" spans="1:12">
      <c r="A186" s="197"/>
      <c r="B186" s="197"/>
      <c r="C186" s="197"/>
      <c r="D186" s="197"/>
      <c r="E186" s="197"/>
      <c r="F186" s="197"/>
      <c r="G186" s="50" t="str">
        <f ca="1">IFERROR(__xludf.DUMMYFUNCTION("IF(I186="""","""",FILTER(DATOS!$D$4:$D$237,DATOS!$B$4:$B$237=I186))"),"18-207")</f>
        <v>18-207</v>
      </c>
      <c r="H186" s="50" t="str">
        <f ca="1">IFERROR(__xludf.DUMMYFUNCTION("IF(I186="""","""",FILTER(DATOS!$C$4:$C$237,DATOS!$B$4:$B$237=I186))"),"RAFAEL URIBE")</f>
        <v>RAFAEL URIBE</v>
      </c>
      <c r="I186" s="37" t="s">
        <v>93</v>
      </c>
      <c r="J186" s="29" t="s">
        <v>147</v>
      </c>
      <c r="K186" s="30">
        <v>39154030</v>
      </c>
      <c r="L186" s="8"/>
    </row>
    <row r="187" spans="1:12" ht="15.75" customHeight="1">
      <c r="A187" s="197"/>
      <c r="B187" s="197"/>
      <c r="C187" s="197"/>
      <c r="D187" s="197"/>
      <c r="E187" s="197"/>
      <c r="F187" s="197"/>
      <c r="G187" s="50" t="str">
        <f ca="1">IFERROR(__xludf.DUMMYFUNCTION("IF(I187="""","""",FILTER(DATOS!$D$4:$D$237,DATOS!$B$4:$B$237=I187))"),"07-035")</f>
        <v>07-035</v>
      </c>
      <c r="H187" s="50" t="str">
        <f ca="1">IFERROR(__xludf.DUMMYFUNCTION("IF(I187="""","""",FILTER(DATOS!$C$4:$C$237,DATOS!$B$4:$B$237=I187))"),"BOSA")</f>
        <v>BOSA</v>
      </c>
      <c r="I187" s="40" t="s">
        <v>116</v>
      </c>
      <c r="J187" s="29" t="s">
        <v>147</v>
      </c>
      <c r="K187" s="30">
        <v>9788507</v>
      </c>
      <c r="L187" s="8"/>
    </row>
    <row r="188" spans="1:12" ht="15.75" customHeight="1">
      <c r="A188" s="197"/>
      <c r="B188" s="197"/>
      <c r="C188" s="197"/>
      <c r="D188" s="197"/>
      <c r="E188" s="197"/>
      <c r="F188" s="197"/>
      <c r="G188" s="50" t="str">
        <f ca="1">IFERROR(__xludf.DUMMYFUNCTION("IF(I188="""","""",FILTER(DATOS!$D$4:$D$237,DATOS!$B$4:$B$237=I188))"),"07-165")</f>
        <v>07-165</v>
      </c>
      <c r="H188" s="50" t="str">
        <f ca="1">IFERROR(__xludf.DUMMYFUNCTION("IF(I188="""","""",FILTER(DATOS!$C$4:$C$237,DATOS!$B$4:$B$237=I188))"),"BOSA")</f>
        <v>BOSA</v>
      </c>
      <c r="I188" s="40" t="s">
        <v>107</v>
      </c>
      <c r="J188" s="29" t="s">
        <v>147</v>
      </c>
      <c r="K188" s="30">
        <v>9788507</v>
      </c>
      <c r="L188" s="8"/>
    </row>
    <row r="189" spans="1:12" ht="15.75" customHeight="1">
      <c r="A189" s="197"/>
      <c r="B189" s="197"/>
      <c r="C189" s="197"/>
      <c r="D189" s="197"/>
      <c r="E189" s="197"/>
      <c r="F189" s="197"/>
      <c r="G189" s="50" t="str">
        <f ca="1">IFERROR(__xludf.DUMMYFUNCTION("IF(I189="""","""",FILTER(DATOS!$D$4:$D$237,DATOS!$B$4:$B$237=I189))"),"07-163")</f>
        <v>07-163</v>
      </c>
      <c r="H189" s="50" t="str">
        <f ca="1">IFERROR(__xludf.DUMMYFUNCTION("IF(I189="""","""",FILTER(DATOS!$C$4:$C$237,DATOS!$B$4:$B$237=I189))"),"BOSA")</f>
        <v>BOSA</v>
      </c>
      <c r="I189" s="40" t="s">
        <v>80</v>
      </c>
      <c r="J189" s="29" t="s">
        <v>147</v>
      </c>
      <c r="K189" s="30">
        <v>9788507</v>
      </c>
      <c r="L189" s="8"/>
    </row>
    <row r="190" spans="1:12" ht="15.75" customHeight="1">
      <c r="A190" s="197"/>
      <c r="B190" s="197"/>
      <c r="C190" s="197"/>
      <c r="D190" s="197"/>
      <c r="E190" s="197"/>
      <c r="F190" s="197"/>
      <c r="G190" s="50" t="str">
        <f ca="1">IFERROR(__xludf.DUMMYFUNCTION("IF(I190="""","""",FILTER(DATOS!$D$4:$D$237,DATOS!$B$4:$B$237=I190))"),"07-164")</f>
        <v>07-164</v>
      </c>
      <c r="H190" s="50" t="str">
        <f ca="1">IFERROR(__xludf.DUMMYFUNCTION("IF(I190="""","""",FILTER(DATOS!$C$4:$C$237,DATOS!$B$4:$B$237=I190))"),"BOSA")</f>
        <v>BOSA</v>
      </c>
      <c r="I190" s="40" t="s">
        <v>85</v>
      </c>
      <c r="J190" s="29" t="s">
        <v>147</v>
      </c>
      <c r="K190" s="30">
        <v>9788507</v>
      </c>
      <c r="L190" s="8"/>
    </row>
    <row r="191" spans="1:12" ht="15.75" customHeight="1">
      <c r="A191" s="197"/>
      <c r="B191" s="197"/>
      <c r="C191" s="197"/>
      <c r="D191" s="197"/>
      <c r="E191" s="197"/>
      <c r="F191" s="197"/>
      <c r="G191" s="50" t="str">
        <f ca="1">IFERROR(__xludf.DUMMYFUNCTION("IF(I191="""","""",FILTER(DATOS!$D$4:$D$237,DATOS!$B$4:$B$237=I191))"),"07-260")</f>
        <v>07-260</v>
      </c>
      <c r="H191" s="50" t="str">
        <f ca="1">IFERROR(__xludf.DUMMYFUNCTION("IF(I191="""","""",FILTER(DATOS!$C$4:$C$237,DATOS!$B$4:$B$237=I191))"),"BOSA")</f>
        <v>BOSA</v>
      </c>
      <c r="I191" s="40" t="s">
        <v>84</v>
      </c>
      <c r="J191" s="29" t="s">
        <v>147</v>
      </c>
      <c r="K191" s="30">
        <v>19577015</v>
      </c>
      <c r="L191" s="8"/>
    </row>
    <row r="192" spans="1:12" ht="15.75" customHeight="1">
      <c r="A192" s="197"/>
      <c r="B192" s="197"/>
      <c r="C192" s="197"/>
      <c r="D192" s="197"/>
      <c r="E192" s="197"/>
      <c r="F192" s="197"/>
      <c r="G192" s="50" t="str">
        <f ca="1">IFERROR(__xludf.DUMMYFUNCTION("IF(I192="""","""",FILTER(DATOS!$D$4:$D$237,DATOS!$B$4:$B$237=I192))"),"08-034")</f>
        <v>08-034</v>
      </c>
      <c r="H192" s="50" t="str">
        <f ca="1">IFERROR(__xludf.DUMMYFUNCTION("IF(I192="""","""",FILTER(DATOS!$C$4:$C$237,DATOS!$B$4:$B$237=I192))"),"KENNEDY")</f>
        <v>KENNEDY</v>
      </c>
      <c r="I192" s="37" t="s">
        <v>118</v>
      </c>
      <c r="J192" s="29" t="s">
        <v>147</v>
      </c>
      <c r="K192" s="30">
        <v>19577015</v>
      </c>
      <c r="L192" s="8"/>
    </row>
    <row r="193" spans="1:12" ht="15.75" customHeight="1">
      <c r="A193" s="197"/>
      <c r="B193" s="197"/>
      <c r="C193" s="197"/>
      <c r="D193" s="197"/>
      <c r="E193" s="197"/>
      <c r="F193" s="197"/>
      <c r="G193" s="50" t="str">
        <f ca="1">IFERROR(__xludf.DUMMYFUNCTION("IF(I193="""","""",FILTER(DATOS!$D$4:$D$237,DATOS!$B$4:$B$237=I193))"),"08-200")</f>
        <v>08-200</v>
      </c>
      <c r="H193" s="50" t="str">
        <f ca="1">IFERROR(__xludf.DUMMYFUNCTION("IF(I193="""","""",FILTER(DATOS!$C$4:$C$237,DATOS!$B$4:$B$237=I193))"),"KENNEDY")</f>
        <v>KENNEDY</v>
      </c>
      <c r="I193" s="51" t="s">
        <v>77</v>
      </c>
      <c r="J193" s="29" t="s">
        <v>147</v>
      </c>
      <c r="K193" s="30">
        <v>9788507</v>
      </c>
      <c r="L193" s="8"/>
    </row>
    <row r="194" spans="1:12" ht="15.75" customHeight="1">
      <c r="A194" s="197"/>
      <c r="B194" s="197"/>
      <c r="C194" s="197"/>
      <c r="D194" s="197"/>
      <c r="E194" s="197"/>
      <c r="F194" s="197"/>
      <c r="G194" s="50" t="str">
        <f ca="1">IFERROR(__xludf.DUMMYFUNCTION("IF(I194="""","""",FILTER(DATOS!$D$4:$D$237,DATOS!$B$4:$B$237=I194))"),"08-241")</f>
        <v>08-241</v>
      </c>
      <c r="H194" s="50" t="str">
        <f ca="1">IFERROR(__xludf.DUMMYFUNCTION("IF(I194="""","""",FILTER(DATOS!$C$4:$C$237,DATOS!$B$4:$B$237=I194))"),"KENNEDY")</f>
        <v>KENNEDY</v>
      </c>
      <c r="I194" s="51" t="s">
        <v>78</v>
      </c>
      <c r="J194" s="29" t="s">
        <v>147</v>
      </c>
      <c r="K194" s="30">
        <v>58731045</v>
      </c>
      <c r="L194" s="8"/>
    </row>
    <row r="195" spans="1:12" ht="15.75" customHeight="1">
      <c r="A195" s="197"/>
      <c r="B195" s="197"/>
      <c r="C195" s="197"/>
      <c r="D195" s="197"/>
      <c r="E195" s="197"/>
      <c r="F195" s="197"/>
      <c r="G195" s="50" t="str">
        <f ca="1">IFERROR(__xludf.DUMMYFUNCTION("IF(I195="""","""",FILTER(DATOS!$D$4:$D$237,DATOS!$B$4:$B$237=I195))"),"08-355")</f>
        <v>08-355</v>
      </c>
      <c r="H195" s="50" t="str">
        <f ca="1">IFERROR(__xludf.DUMMYFUNCTION("IF(I195="""","""",FILTER(DATOS!$C$4:$C$237,DATOS!$B$4:$B$237=I195))"),"KENNEDY")</f>
        <v>KENNEDY</v>
      </c>
      <c r="I195" s="51" t="s">
        <v>100</v>
      </c>
      <c r="J195" s="29" t="s">
        <v>147</v>
      </c>
      <c r="K195" s="30">
        <v>9788507</v>
      </c>
      <c r="L195" s="8"/>
    </row>
    <row r="196" spans="1:12" ht="15.75" customHeight="1">
      <c r="A196" s="197"/>
      <c r="B196" s="197"/>
      <c r="C196" s="197"/>
      <c r="D196" s="197"/>
      <c r="E196" s="197"/>
      <c r="F196" s="197"/>
      <c r="G196" s="50" t="str">
        <f ca="1">IFERROR(__xludf.DUMMYFUNCTION("IF(I196="""","""",FILTER(DATOS!$D$4:$D$237,DATOS!$B$4:$B$237=I196))"),"08-552")</f>
        <v>08-552</v>
      </c>
      <c r="H196" s="50" t="str">
        <f ca="1">IFERROR(__xludf.DUMMYFUNCTION("IF(I196="""","""",FILTER(DATOS!$C$4:$C$237,DATOS!$B$4:$B$237=I196))"),"KENNEDY")</f>
        <v>KENNEDY</v>
      </c>
      <c r="I196" s="51" t="s">
        <v>97</v>
      </c>
      <c r="J196" s="29" t="s">
        <v>147</v>
      </c>
      <c r="K196" s="30">
        <v>39154030</v>
      </c>
      <c r="L196" s="8"/>
    </row>
    <row r="197" spans="1:12" ht="15.75" customHeight="1">
      <c r="A197" s="197"/>
      <c r="B197" s="197"/>
      <c r="C197" s="197"/>
      <c r="D197" s="197"/>
      <c r="E197" s="197"/>
      <c r="F197" s="197"/>
      <c r="G197" s="50" t="str">
        <f ca="1">IFERROR(__xludf.DUMMYFUNCTION("IF(I197="""","""",FILTER(DATOS!$D$4:$D$237,DATOS!$B$4:$B$237=I197))"),"09-111")</f>
        <v>09-111</v>
      </c>
      <c r="H197" s="50" t="str">
        <f ca="1">IFERROR(__xludf.DUMMYFUNCTION("IF(I197="""","""",FILTER(DATOS!$C$4:$C$237,DATOS!$B$4:$B$237=I197))"),"FONTIBON")</f>
        <v>FONTIBON</v>
      </c>
      <c r="I197" s="31" t="s">
        <v>57</v>
      </c>
      <c r="J197" s="29" t="s">
        <v>147</v>
      </c>
      <c r="K197" s="30">
        <v>39154030</v>
      </c>
      <c r="L197" s="8"/>
    </row>
    <row r="198" spans="1:12" ht="15.75" customHeight="1">
      <c r="A198" s="197"/>
      <c r="B198" s="197"/>
      <c r="C198" s="197"/>
      <c r="D198" s="197"/>
      <c r="E198" s="197"/>
      <c r="F198" s="197"/>
      <c r="G198" s="50" t="str">
        <f ca="1">IFERROR(__xludf.DUMMYFUNCTION("IF(I198="""","""",FILTER(DATOS!$D$4:$D$237,DATOS!$B$4:$B$237=I198))"),"09-125")</f>
        <v>09-125</v>
      </c>
      <c r="H198" s="50" t="str">
        <f ca="1">IFERROR(__xludf.DUMMYFUNCTION("IF(I198="""","""",FILTER(DATOS!$C$4:$C$237,DATOS!$B$4:$B$237=I198))"),"FONTIBON")</f>
        <v>FONTIBON</v>
      </c>
      <c r="I198" s="37" t="s">
        <v>67</v>
      </c>
      <c r="J198" s="29" t="s">
        <v>147</v>
      </c>
      <c r="K198" s="30">
        <v>19577015</v>
      </c>
      <c r="L198" s="8"/>
    </row>
    <row r="199" spans="1:12" ht="15.75" customHeight="1">
      <c r="A199" s="197"/>
      <c r="B199" s="197"/>
      <c r="C199" s="197"/>
      <c r="D199" s="197"/>
      <c r="E199" s="197"/>
      <c r="F199" s="197"/>
      <c r="G199" s="50" t="str">
        <f ca="1">IFERROR(__xludf.DUMMYFUNCTION("IF(I199="""","""",FILTER(DATOS!$D$4:$D$237,DATOS!$B$4:$B$237=I199))"),"14-009")</f>
        <v>14-009</v>
      </c>
      <c r="H199" s="50" t="str">
        <f ca="1">IFERROR(__xludf.DUMMYFUNCTION("IF(I199="""","""",FILTER(DATOS!$C$4:$C$237,DATOS!$B$4:$B$237=I199))"),"MARTIRES")</f>
        <v>MARTIRES</v>
      </c>
      <c r="I199" s="51" t="s">
        <v>150</v>
      </c>
      <c r="J199" s="29" t="s">
        <v>147</v>
      </c>
      <c r="K199" s="30">
        <v>9788507</v>
      </c>
      <c r="L199" s="8"/>
    </row>
    <row r="200" spans="1:12" ht="15.75" customHeight="1">
      <c r="A200" s="197"/>
      <c r="B200" s="197"/>
      <c r="C200" s="197"/>
      <c r="D200" s="197"/>
      <c r="E200" s="197"/>
      <c r="F200" s="197"/>
      <c r="G200" s="50" t="str">
        <f ca="1">IFERROR(__xludf.DUMMYFUNCTION("IF(I200="""","""",FILTER(DATOS!$D$4:$D$237,DATOS!$B$4:$B$237=I200))"),"14-030")</f>
        <v>14-030</v>
      </c>
      <c r="H200" s="50" t="str">
        <f ca="1">IFERROR(__xludf.DUMMYFUNCTION("IF(I200="""","""",FILTER(DATOS!$C$4:$C$237,DATOS!$B$4:$B$237=I200))"),"MARTIRES")</f>
        <v>MARTIRES</v>
      </c>
      <c r="I200" s="37" t="s">
        <v>82</v>
      </c>
      <c r="J200" s="29" t="s">
        <v>147</v>
      </c>
      <c r="K200" s="30">
        <v>9788507</v>
      </c>
      <c r="L200" s="8"/>
    </row>
    <row r="201" spans="1:12" ht="15.75" customHeight="1">
      <c r="A201" s="197"/>
      <c r="B201" s="197"/>
      <c r="C201" s="197"/>
      <c r="D201" s="197"/>
      <c r="E201" s="197"/>
      <c r="F201" s="197"/>
      <c r="G201" s="50" t="str">
        <f ca="1">IFERROR(__xludf.DUMMYFUNCTION("IF(I201="""","""",FILTER(DATOS!$D$4:$D$237,DATOS!$B$4:$B$237=I201))"),"15-040")</f>
        <v>15-040</v>
      </c>
      <c r="H201" s="50" t="str">
        <f ca="1">IFERROR(__xludf.DUMMYFUNCTION("IF(I201="""","""",FILTER(DATOS!$C$4:$C$237,DATOS!$B$4:$B$237=I201))"),"ANTONIO NARIÑO")</f>
        <v>ANTONIO NARIÑO</v>
      </c>
      <c r="I201" s="51" t="s">
        <v>105</v>
      </c>
      <c r="J201" s="29" t="s">
        <v>147</v>
      </c>
      <c r="K201" s="30">
        <v>19577015</v>
      </c>
      <c r="L201" s="8"/>
    </row>
    <row r="202" spans="1:12" ht="15.75" customHeight="1">
      <c r="A202" s="197"/>
      <c r="B202" s="197"/>
      <c r="C202" s="197"/>
      <c r="D202" s="197"/>
      <c r="E202" s="197"/>
      <c r="F202" s="197"/>
      <c r="G202" s="52" t="str">
        <f ca="1">IFERROR(__xludf.DUMMYFUNCTION("IF(I202="""","""",FILTER(DATOS!$D$4:$D$237,DATOS!$B$4:$B$237=I202))"),"01-1000")</f>
        <v>01-1000</v>
      </c>
      <c r="H202" s="52" t="str">
        <f ca="1">IFERROR(__xludf.DUMMYFUNCTION("IF(I202="""","""",FILTER(DATOS!$C$4:$C$237,DATOS!$B$4:$B$237=I202))"),"USAQUEN")</f>
        <v>USAQUEN</v>
      </c>
      <c r="I202" s="40" t="s">
        <v>29</v>
      </c>
      <c r="J202" s="29" t="s">
        <v>147</v>
      </c>
      <c r="K202" s="30">
        <v>19577015</v>
      </c>
      <c r="L202" s="8"/>
    </row>
    <row r="203" spans="1:12" ht="15.75" customHeight="1">
      <c r="A203" s="197"/>
      <c r="B203" s="197"/>
      <c r="C203" s="197"/>
      <c r="D203" s="197"/>
      <c r="E203" s="197"/>
      <c r="F203" s="197"/>
      <c r="G203" s="50" t="str">
        <f ca="1">IFERROR(__xludf.DUMMYFUNCTION("IF(I203="""","""",FILTER(DATOS!$D$4:$D$237,DATOS!$B$4:$B$237=I203))"),"16-099")</f>
        <v>16-099</v>
      </c>
      <c r="H203" s="50" t="str">
        <f ca="1">IFERROR(__xludf.DUMMYFUNCTION("IF(I203="""","""",FILTER(DATOS!$C$4:$C$237,DATOS!$B$4:$B$237=I203))"),"PUENTE ARANDA")</f>
        <v>PUENTE ARANDA</v>
      </c>
      <c r="I203" s="37" t="s">
        <v>112</v>
      </c>
      <c r="J203" s="29" t="s">
        <v>147</v>
      </c>
      <c r="K203" s="30">
        <v>9788507</v>
      </c>
      <c r="L203" s="8"/>
    </row>
    <row r="204" spans="1:12" ht="15.75" customHeight="1">
      <c r="A204" s="197"/>
      <c r="B204" s="197"/>
      <c r="C204" s="197"/>
      <c r="D204" s="197"/>
      <c r="E204" s="197"/>
      <c r="F204" s="197"/>
      <c r="G204" s="50" t="str">
        <f ca="1">IFERROR(__xludf.DUMMYFUNCTION("IF(I204="""","""",FILTER(DATOS!$D$4:$D$237,DATOS!$B$4:$B$237=I204))"),"03-085")</f>
        <v>03-085</v>
      </c>
      <c r="H204" s="50" t="str">
        <f ca="1">IFERROR(__xludf.DUMMYFUNCTION("IF(I204="""","""",FILTER(DATOS!$C$4:$C$237,DATOS!$B$4:$B$237=I204))"),"SANTAFE")</f>
        <v>SANTAFE</v>
      </c>
      <c r="I204" s="40" t="s">
        <v>129</v>
      </c>
      <c r="J204" s="29" t="s">
        <v>147</v>
      </c>
      <c r="K204" s="30">
        <v>58731045</v>
      </c>
      <c r="L204" s="8"/>
    </row>
    <row r="205" spans="1:12" ht="15.75" customHeight="1">
      <c r="A205" s="197"/>
      <c r="B205" s="197"/>
      <c r="C205" s="197"/>
      <c r="D205" s="197"/>
      <c r="E205" s="197"/>
      <c r="F205" s="197"/>
      <c r="G205" s="50" t="str">
        <f ca="1">IFERROR(__xludf.DUMMYFUNCTION("IF(I205="""","""",FILTER(DATOS!$D$4:$D$237,DATOS!$B$4:$B$237=I205))"),"12-092")</f>
        <v>12-092</v>
      </c>
      <c r="H205" s="50" t="str">
        <f ca="1">IFERROR(__xludf.DUMMYFUNCTION("IF(I205="""","""",FILTER(DATOS!$C$4:$C$237,DATOS!$B$4:$B$237=I205))"),"BARRIOS UNIDOS")</f>
        <v>BARRIOS UNIDOS</v>
      </c>
      <c r="I205" s="31" t="s">
        <v>31</v>
      </c>
      <c r="J205" s="29" t="s">
        <v>147</v>
      </c>
      <c r="K205" s="30">
        <v>39154030</v>
      </c>
      <c r="L205" s="8"/>
    </row>
    <row r="206" spans="1:12" ht="15.75" customHeight="1">
      <c r="A206" s="197"/>
      <c r="B206" s="197"/>
      <c r="C206" s="197"/>
      <c r="D206" s="197"/>
      <c r="E206" s="197"/>
      <c r="F206" s="197"/>
      <c r="G206" s="50" t="str">
        <f ca="1">IFERROR(__xludf.DUMMYFUNCTION("IF(I206="""","""",FILTER(DATOS!$D$4:$D$237,DATOS!$B$4:$B$237=I206))"),"09-104")</f>
        <v>09-104</v>
      </c>
      <c r="H206" s="50" t="str">
        <f ca="1">IFERROR(__xludf.DUMMYFUNCTION("IF(I206="""","""",FILTER(DATOS!$C$4:$C$237,DATOS!$B$4:$B$237=I206))"),"FONTIBON")</f>
        <v>FONTIBON</v>
      </c>
      <c r="I206" s="51" t="s">
        <v>21</v>
      </c>
      <c r="J206" s="29" t="s">
        <v>147</v>
      </c>
      <c r="K206" s="30">
        <v>19577015</v>
      </c>
      <c r="L206" s="8"/>
    </row>
    <row r="207" spans="1:12" ht="15.75" customHeight="1">
      <c r="A207" s="197"/>
      <c r="B207" s="197"/>
      <c r="C207" s="197"/>
      <c r="D207" s="197"/>
      <c r="E207" s="197"/>
      <c r="F207" s="197"/>
      <c r="G207" s="50" t="str">
        <f ca="1">IFERROR(__xludf.DUMMYFUNCTION("IF(I207="""","""",FILTER(DATOS!$D$4:$D$237,DATOS!$B$4:$B$237=I207))"),"11-205")</f>
        <v>11-205</v>
      </c>
      <c r="H207" s="50" t="str">
        <f ca="1">IFERROR(__xludf.DUMMYFUNCTION("IF(I207="""","""",FILTER(DATOS!$C$4:$C$237,DATOS!$B$4:$B$237=I207))"),"SUBA")</f>
        <v>SUBA</v>
      </c>
      <c r="I207" s="51" t="s">
        <v>39</v>
      </c>
      <c r="J207" s="29" t="s">
        <v>147</v>
      </c>
      <c r="K207" s="30">
        <v>29365522</v>
      </c>
      <c r="L207" s="8"/>
    </row>
    <row r="208" spans="1:12" ht="15.75" customHeight="1">
      <c r="A208" s="197"/>
      <c r="B208" s="197"/>
      <c r="C208" s="197"/>
      <c r="D208" s="197"/>
      <c r="E208" s="197"/>
      <c r="F208" s="197"/>
      <c r="G208" s="50" t="str">
        <f ca="1">IFERROR(__xludf.DUMMYFUNCTION("IF(I208="""","""",FILTER(DATOS!$D$4:$D$237,DATOS!$B$4:$B$237=I208))"),"19-231")</f>
        <v>19-231</v>
      </c>
      <c r="H208" s="50" t="str">
        <f ca="1">IFERROR(__xludf.DUMMYFUNCTION("IF(I208="""","""",FILTER(DATOS!$C$4:$C$237,DATOS!$B$4:$B$237=I208))"),"CIUDAD BOLIVAR")</f>
        <v>CIUDAD BOLIVAR</v>
      </c>
      <c r="I208" s="51" t="s">
        <v>104</v>
      </c>
      <c r="J208" s="29" t="s">
        <v>147</v>
      </c>
      <c r="K208" s="30">
        <v>19577015</v>
      </c>
      <c r="L208" s="8"/>
    </row>
    <row r="209" spans="1:12" ht="15.75" customHeight="1">
      <c r="A209" s="197"/>
      <c r="B209" s="197"/>
      <c r="C209" s="197"/>
      <c r="D209" s="197"/>
      <c r="E209" s="197"/>
      <c r="F209" s="197"/>
      <c r="G209" s="50" t="str">
        <f ca="1">IFERROR(__xludf.DUMMYFUNCTION("IF(I209="""","""",FILTER(DATOS!$D$4:$D$237,DATOS!$B$4:$B$237=I209))"),"01-064")</f>
        <v>01-064</v>
      </c>
      <c r="H209" s="50" t="str">
        <f ca="1">IFERROR(__xludf.DUMMYFUNCTION("IF(I209="""","""",FILTER(DATOS!$C$4:$C$237,DATOS!$B$4:$B$237=I209))"),"USAQUEN")</f>
        <v>USAQUEN</v>
      </c>
      <c r="I209" s="40" t="s">
        <v>151</v>
      </c>
      <c r="J209" s="29" t="s">
        <v>147</v>
      </c>
      <c r="K209" s="30">
        <v>9788507</v>
      </c>
      <c r="L209" s="8"/>
    </row>
    <row r="210" spans="1:12" ht="15.75" customHeight="1">
      <c r="A210" s="197"/>
      <c r="B210" s="197"/>
      <c r="C210" s="197"/>
      <c r="D210" s="197"/>
      <c r="E210" s="197"/>
      <c r="F210" s="197"/>
      <c r="G210" s="50" t="str">
        <f ca="1">IFERROR(__xludf.DUMMYFUNCTION("IF(I210="""","""",FILTER(DATOS!$D$4:$D$237,DATOS!$B$4:$B$237=I210))"),"02-014")</f>
        <v>02-014</v>
      </c>
      <c r="H210" s="50" t="str">
        <f ca="1">IFERROR(__xludf.DUMMYFUNCTION("IF(I210="""","""",FILTER(DATOS!$C$4:$C$237,DATOS!$B$4:$B$237=I210))"),"CHAPINERO")</f>
        <v>CHAPINERO</v>
      </c>
      <c r="I210" s="40" t="s">
        <v>152</v>
      </c>
      <c r="J210" s="29" t="s">
        <v>147</v>
      </c>
      <c r="K210" s="30">
        <v>9788507</v>
      </c>
      <c r="L210" s="8"/>
    </row>
    <row r="211" spans="1:12" ht="15.75" customHeight="1">
      <c r="A211" s="197"/>
      <c r="B211" s="197"/>
      <c r="C211" s="197"/>
      <c r="D211" s="197"/>
      <c r="E211" s="197"/>
      <c r="F211" s="197"/>
      <c r="G211" s="50" t="str">
        <f ca="1">IFERROR(__xludf.DUMMYFUNCTION("IF(I211="""","""",FILTER(DATOS!$D$4:$D$237,DATOS!$B$4:$B$237=I211))"),"03-093")</f>
        <v>03-093</v>
      </c>
      <c r="H211" s="50" t="str">
        <f ca="1">IFERROR(__xludf.DUMMYFUNCTION("IF(I211="""","""",FILTER(DATOS!$C$4:$C$237,DATOS!$B$4:$B$237=I211))"),"SANTAFE")</f>
        <v>SANTAFE</v>
      </c>
      <c r="I211" s="40" t="s">
        <v>51</v>
      </c>
      <c r="J211" s="29" t="s">
        <v>147</v>
      </c>
      <c r="K211" s="30">
        <v>19577015</v>
      </c>
      <c r="L211" s="8"/>
    </row>
    <row r="212" spans="1:12" ht="15.75" customHeight="1">
      <c r="A212" s="197"/>
      <c r="B212" s="197"/>
      <c r="C212" s="197"/>
      <c r="D212" s="197"/>
      <c r="E212" s="197"/>
      <c r="F212" s="197"/>
      <c r="G212" s="50" t="str">
        <f ca="1">IFERROR(__xludf.DUMMYFUNCTION("IF(I212="""","""",FILTER(DATOS!$D$4:$D$237,DATOS!$B$4:$B$237=I212))"),"18-090")</f>
        <v>18-090</v>
      </c>
      <c r="H212" s="50" t="str">
        <f ca="1">IFERROR(__xludf.DUMMYFUNCTION("IF(I212="""","""",FILTER(DATOS!$C$4:$C$237,DATOS!$B$4:$B$237=I212))"),"RAFAEL URIBE")</f>
        <v>RAFAEL URIBE</v>
      </c>
      <c r="I212" s="37" t="s">
        <v>94</v>
      </c>
      <c r="J212" s="29" t="s">
        <v>147</v>
      </c>
      <c r="K212" s="30">
        <v>9788507</v>
      </c>
      <c r="L212" s="8"/>
    </row>
    <row r="213" spans="1:12" ht="15.75" customHeight="1">
      <c r="A213" s="197"/>
      <c r="B213" s="197"/>
      <c r="C213" s="197"/>
      <c r="D213" s="197"/>
      <c r="E213" s="197"/>
      <c r="F213" s="197"/>
      <c r="G213" s="50" t="str">
        <f ca="1">IFERROR(__xludf.DUMMYFUNCTION("IF(I213="""","""",FILTER(DATOS!$D$4:$D$237,DATOS!$B$4:$B$237=I213))"),"08-144")</f>
        <v>08-144</v>
      </c>
      <c r="H213" s="50" t="str">
        <f ca="1">IFERROR(__xludf.DUMMYFUNCTION("IF(I213="""","""",FILTER(DATOS!$C$4:$C$237,DATOS!$B$4:$B$237=I213))"),"KENNEDY")</f>
        <v>KENNEDY</v>
      </c>
      <c r="I213" s="53" t="s">
        <v>81</v>
      </c>
      <c r="J213" s="29" t="s">
        <v>147</v>
      </c>
      <c r="K213" s="30">
        <v>9788507</v>
      </c>
      <c r="L213" s="8"/>
    </row>
    <row r="214" spans="1:12" ht="15.75" customHeight="1">
      <c r="A214" s="197"/>
      <c r="B214" s="197"/>
      <c r="C214" s="197"/>
      <c r="D214" s="197"/>
      <c r="E214" s="197"/>
      <c r="F214" s="197"/>
      <c r="G214" s="50" t="str">
        <f ca="1">IFERROR(__xludf.DUMMYFUNCTION("IF(I214="""","""",FILTER(DATOS!$D$4:$D$237,DATOS!$B$4:$B$237=I214))"),"08-109")</f>
        <v>08-109</v>
      </c>
      <c r="H214" s="50" t="str">
        <f ca="1">IFERROR(__xludf.DUMMYFUNCTION("IF(I214="""","""",FILTER(DATOS!$C$4:$C$237,DATOS!$B$4:$B$237=I214))"),"KENNEDY")</f>
        <v>KENNEDY</v>
      </c>
      <c r="I214" s="51" t="s">
        <v>86</v>
      </c>
      <c r="J214" s="29" t="s">
        <v>147</v>
      </c>
      <c r="K214" s="30">
        <v>9788507</v>
      </c>
      <c r="L214" s="8"/>
    </row>
    <row r="215" spans="1:12" ht="15.75" customHeight="1">
      <c r="A215" s="197"/>
      <c r="B215" s="197"/>
      <c r="C215" s="197"/>
      <c r="D215" s="197"/>
      <c r="E215" s="197"/>
      <c r="F215" s="197"/>
      <c r="G215" s="50" t="str">
        <f ca="1">IFERROR(__xludf.DUMMYFUNCTION("IF(I215="""","""",FILTER(DATOS!$D$4:$D$237,DATOS!$B$4:$B$237=I215))"),"07-152")</f>
        <v>07-152</v>
      </c>
      <c r="H215" s="50" t="str">
        <f ca="1">IFERROR(__xludf.DUMMYFUNCTION("IF(I215="""","""",FILTER(DATOS!$C$4:$C$237,DATOS!$B$4:$B$237=I215))"),"BOSA")</f>
        <v>BOSA</v>
      </c>
      <c r="I215" s="40" t="s">
        <v>92</v>
      </c>
      <c r="J215" s="29" t="s">
        <v>147</v>
      </c>
      <c r="K215" s="30">
        <v>19577015</v>
      </c>
      <c r="L215" s="8"/>
    </row>
    <row r="216" spans="1:12" ht="15.75" customHeight="1">
      <c r="A216" s="197"/>
      <c r="B216" s="197"/>
      <c r="C216" s="197"/>
      <c r="D216" s="197"/>
      <c r="E216" s="197"/>
      <c r="F216" s="197"/>
      <c r="G216" s="50" t="str">
        <f ca="1">IFERROR(__xludf.DUMMYFUNCTION("IF(I216="""","""",FILTER(DATOS!$D$4:$D$237,DATOS!$B$4:$B$237=I216))"),"04-122")</f>
        <v>04-122</v>
      </c>
      <c r="H216" s="50" t="str">
        <f ca="1">IFERROR(__xludf.DUMMYFUNCTION("IF(I216="""","""",FILTER(DATOS!$C$4:$C$237,DATOS!$B$4:$B$237=I216))"),"SAN CRISTOBAL")</f>
        <v>SAN CRISTOBAL</v>
      </c>
      <c r="I216" s="40" t="s">
        <v>108</v>
      </c>
      <c r="J216" s="29" t="s">
        <v>147</v>
      </c>
      <c r="K216" s="30">
        <v>19577015</v>
      </c>
      <c r="L216" s="8"/>
    </row>
    <row r="217" spans="1:12" ht="15.75" customHeight="1">
      <c r="A217" s="197"/>
      <c r="B217" s="197"/>
      <c r="C217" s="197"/>
      <c r="D217" s="197"/>
      <c r="E217" s="197"/>
      <c r="F217" s="197"/>
      <c r="G217" s="50" t="str">
        <f ca="1">IFERROR(__xludf.DUMMYFUNCTION("IF(I217="""","""",FILTER(DATOS!$D$4:$D$237,DATOS!$B$4:$B$237=I217))"),"07-391")</f>
        <v>07-391</v>
      </c>
      <c r="H217" s="50" t="str">
        <f ca="1">IFERROR(__xludf.DUMMYFUNCTION("IF(I217="""","""",FILTER(DATOS!$C$4:$C$237,DATOS!$B$4:$B$237=I217))"),"BOSA")</f>
        <v>BOSA</v>
      </c>
      <c r="I217" s="40" t="s">
        <v>119</v>
      </c>
      <c r="J217" s="29" t="s">
        <v>147</v>
      </c>
      <c r="K217" s="30">
        <v>29365522</v>
      </c>
      <c r="L217" s="8"/>
    </row>
    <row r="218" spans="1:12" ht="15.75" customHeight="1">
      <c r="A218" s="197"/>
      <c r="B218" s="197"/>
      <c r="C218" s="197"/>
      <c r="D218" s="197"/>
      <c r="E218" s="197"/>
      <c r="F218" s="197"/>
      <c r="G218" s="50" t="str">
        <f ca="1">IFERROR(__xludf.DUMMYFUNCTION("IF(I218="""","""",FILTER(DATOS!$D$4:$D$237,DATOS!$B$4:$B$237=I218))"),"18-452")</f>
        <v>18-452</v>
      </c>
      <c r="H218" s="50" t="str">
        <f ca="1">IFERROR(__xludf.DUMMYFUNCTION("IF(I218="""","""",FILTER(DATOS!$C$4:$C$237,DATOS!$B$4:$B$237=I218))"),"RAFAEL URIBE")</f>
        <v>RAFAEL URIBE</v>
      </c>
      <c r="I218" s="51" t="s">
        <v>98</v>
      </c>
      <c r="J218" s="29" t="s">
        <v>147</v>
      </c>
      <c r="K218" s="30">
        <v>9788507</v>
      </c>
      <c r="L218" s="8"/>
    </row>
    <row r="219" spans="1:12" ht="15.75" customHeight="1">
      <c r="A219" s="197"/>
      <c r="B219" s="197"/>
      <c r="C219" s="197"/>
      <c r="D219" s="197"/>
      <c r="E219" s="197"/>
      <c r="F219" s="197"/>
      <c r="G219" s="50" t="str">
        <f ca="1">IFERROR(__xludf.DUMMYFUNCTION("IF(I219="""","""",FILTER(DATOS!$D$4:$D$237,DATOS!$B$4:$B$237=I219))"),"08-219")</f>
        <v>08-219</v>
      </c>
      <c r="H219" s="50" t="str">
        <f ca="1">IFERROR(__xludf.DUMMYFUNCTION("IF(I219="""","""",FILTER(DATOS!$C$4:$C$237,DATOS!$B$4:$B$237=I219))"),"KENNEDY")</f>
        <v>KENNEDY</v>
      </c>
      <c r="I219" s="40" t="s">
        <v>132</v>
      </c>
      <c r="J219" s="29" t="s">
        <v>147</v>
      </c>
      <c r="K219" s="30">
        <v>9788507</v>
      </c>
      <c r="L219" s="8"/>
    </row>
    <row r="220" spans="1:12" ht="15.75" customHeight="1">
      <c r="A220" s="197"/>
      <c r="B220" s="197"/>
      <c r="C220" s="197"/>
      <c r="D220" s="197"/>
      <c r="E220" s="197"/>
      <c r="F220" s="197"/>
      <c r="G220" s="50" t="str">
        <f ca="1">IFERROR(__xludf.DUMMYFUNCTION("IF(I220="""","""",FILTER(DATOS!$D$4:$D$237,DATOS!$B$4:$B$237=I220))"),"19-348")</f>
        <v>19-348</v>
      </c>
      <c r="H220" s="50" t="str">
        <f ca="1">IFERROR(__xludf.DUMMYFUNCTION("IF(I220="""","""",FILTER(DATOS!$C$4:$C$237,DATOS!$B$4:$B$237=I220))"),"CIUDAD BOLIVAR")</f>
        <v>CIUDAD BOLIVAR</v>
      </c>
      <c r="I220" s="37" t="s">
        <v>128</v>
      </c>
      <c r="J220" s="29" t="s">
        <v>147</v>
      </c>
      <c r="K220" s="30">
        <v>19577015</v>
      </c>
      <c r="L220" s="8"/>
    </row>
    <row r="221" spans="1:12" ht="15.75" customHeight="1">
      <c r="A221" s="197"/>
      <c r="B221" s="197"/>
      <c r="C221" s="197"/>
      <c r="D221" s="197"/>
      <c r="E221" s="197"/>
      <c r="F221" s="197"/>
      <c r="G221" s="50" t="str">
        <f ca="1">IFERROR(__xludf.DUMMYFUNCTION("IF(I221="""","""",FILTER(DATOS!$D$4:$D$237,DATOS!$B$4:$B$237=I221))"),"03-014")</f>
        <v>03-014</v>
      </c>
      <c r="H221" s="50" t="str">
        <f ca="1">IFERROR(__xludf.DUMMYFUNCTION("IF(I221="""","""",FILTER(DATOS!$C$4:$C$237,DATOS!$B$4:$B$237=I221))"),"SANTAFE")</f>
        <v>SANTAFE</v>
      </c>
      <c r="I221" s="40" t="s">
        <v>153</v>
      </c>
      <c r="J221" s="29" t="s">
        <v>147</v>
      </c>
      <c r="K221" s="30">
        <v>9788507</v>
      </c>
      <c r="L221" s="8"/>
    </row>
    <row r="222" spans="1:12" ht="15.75" customHeight="1">
      <c r="A222" s="197"/>
      <c r="B222" s="197"/>
      <c r="C222" s="197"/>
      <c r="D222" s="197"/>
      <c r="E222" s="197"/>
      <c r="F222" s="197"/>
      <c r="G222" s="50" t="str">
        <f ca="1">IFERROR(__xludf.DUMMYFUNCTION("IF(I222="""","""",FILTER(DATOS!$D$4:$D$237,DATOS!$B$4:$B$237=I222))"),"07-274")</f>
        <v>07-274</v>
      </c>
      <c r="H222" s="50" t="str">
        <f ca="1">IFERROR(__xludf.DUMMYFUNCTION("IF(I222="""","""",FILTER(DATOS!$C$4:$C$237,DATOS!$B$4:$B$237=I222))"),"BOSA")</f>
        <v>BOSA</v>
      </c>
      <c r="I222" s="40" t="s">
        <v>130</v>
      </c>
      <c r="J222" s="29" t="s">
        <v>147</v>
      </c>
      <c r="K222" s="30">
        <v>9788507</v>
      </c>
      <c r="L222" s="8"/>
    </row>
    <row r="223" spans="1:12" ht="15.75" customHeight="1">
      <c r="A223" s="197"/>
      <c r="B223" s="197"/>
      <c r="C223" s="197"/>
      <c r="D223" s="197"/>
      <c r="E223" s="197"/>
      <c r="F223" s="197"/>
      <c r="G223" s="50" t="str">
        <f ca="1">IFERROR(__xludf.DUMMYFUNCTION("IF(I223="""","""",FILTER(DATOS!$D$4:$D$237,DATOS!$B$4:$B$237=I223))"),"19-756")</f>
        <v>19-756</v>
      </c>
      <c r="H223" s="50" t="str">
        <f ca="1">IFERROR(__xludf.DUMMYFUNCTION("IF(I223="""","""",FILTER(DATOS!$C$4:$C$237,DATOS!$B$4:$B$237=I223))"),"CIUDAD BOLIVAR")</f>
        <v>CIUDAD BOLIVAR</v>
      </c>
      <c r="I223" s="51" t="s">
        <v>71</v>
      </c>
      <c r="J223" s="29" t="s">
        <v>147</v>
      </c>
      <c r="K223" s="30">
        <v>19577015</v>
      </c>
      <c r="L223" s="8"/>
    </row>
    <row r="224" spans="1:12" ht="15.75" customHeight="1">
      <c r="A224" s="197"/>
      <c r="B224" s="197"/>
      <c r="C224" s="197"/>
      <c r="D224" s="197"/>
      <c r="E224" s="197"/>
      <c r="F224" s="197"/>
      <c r="G224" s="50" t="str">
        <f ca="1">IFERROR(__xludf.DUMMYFUNCTION("IF(I224="""","""",FILTER(DATOS!$D$4:$D$237,DATOS!$B$4:$B$237=I224))"),"11-069")</f>
        <v>11-069</v>
      </c>
      <c r="H224" s="50" t="str">
        <f ca="1">IFERROR(__xludf.DUMMYFUNCTION("IF(I224="""","""",FILTER(DATOS!$C$4:$C$237,DATOS!$B$4:$B$237=I224))"),"SUBA")</f>
        <v>SUBA</v>
      </c>
      <c r="I224" s="51" t="s">
        <v>26</v>
      </c>
      <c r="J224" s="29" t="s">
        <v>147</v>
      </c>
      <c r="K224" s="30">
        <v>19577015</v>
      </c>
      <c r="L224" s="8"/>
    </row>
    <row r="225" spans="1:12" ht="15.75" customHeight="1">
      <c r="A225" s="197"/>
      <c r="B225" s="197"/>
      <c r="C225" s="197"/>
      <c r="D225" s="197"/>
      <c r="E225" s="197"/>
      <c r="F225" s="197"/>
      <c r="G225" s="50" t="str">
        <f ca="1">IFERROR(__xludf.DUMMYFUNCTION("IF(I225="""","""",FILTER(DATOS!$D$4:$D$237,DATOS!$B$4:$B$237=I225))"),"07-273")</f>
        <v>07-273</v>
      </c>
      <c r="H225" s="50" t="str">
        <f ca="1">IFERROR(__xludf.DUMMYFUNCTION("IF(I225="""","""",FILTER(DATOS!$C$4:$C$237,DATOS!$B$4:$B$237=I225))"),"BOSA")</f>
        <v>BOSA</v>
      </c>
      <c r="I225" s="40" t="s">
        <v>103</v>
      </c>
      <c r="J225" s="29" t="s">
        <v>147</v>
      </c>
      <c r="K225" s="30">
        <v>9788507</v>
      </c>
      <c r="L225" s="8"/>
    </row>
    <row r="226" spans="1:12" ht="15.75" customHeight="1">
      <c r="A226" s="197"/>
      <c r="B226" s="197"/>
      <c r="C226" s="197"/>
      <c r="D226" s="197"/>
      <c r="E226" s="197"/>
      <c r="F226" s="197"/>
      <c r="G226" s="50" t="str">
        <f ca="1">IFERROR(__xludf.DUMMYFUNCTION("IF(I226="""","""",FILTER(DATOS!$D$4:$D$237,DATOS!$B$4:$B$237=I226))"),"19-347")</f>
        <v>19-347</v>
      </c>
      <c r="H226" s="50" t="str">
        <f ca="1">IFERROR(__xludf.DUMMYFUNCTION("IF(I226="""","""",FILTER(DATOS!$C$4:$C$237,DATOS!$B$4:$B$237=I226))"),"CIUDAD BOLIVAR")</f>
        <v>CIUDAD BOLIVAR</v>
      </c>
      <c r="I226" s="35" t="s">
        <v>75</v>
      </c>
      <c r="J226" s="29" t="s">
        <v>147</v>
      </c>
      <c r="K226" s="30">
        <v>9788507</v>
      </c>
      <c r="L226" s="8"/>
    </row>
    <row r="227" spans="1:12" ht="15.75" customHeight="1">
      <c r="A227" s="197"/>
      <c r="B227" s="197"/>
      <c r="C227" s="197"/>
      <c r="D227" s="197"/>
      <c r="E227" s="197"/>
      <c r="F227" s="197"/>
      <c r="G227" s="50" t="str">
        <f ca="1">IFERROR(__xludf.DUMMYFUNCTION("IF(I227="""","""",FILTER(DATOS!$D$4:$D$237,DATOS!$B$4:$B$237=I227))"),"12-117")</f>
        <v>12-117</v>
      </c>
      <c r="H227" s="50" t="str">
        <f ca="1">IFERROR(__xludf.DUMMYFUNCTION("IF(I227="""","""",FILTER(DATOS!$C$4:$C$237,DATOS!$B$4:$B$237=I227))"),"BARRIOS UNIDOS")</f>
        <v>BARRIOS UNIDOS</v>
      </c>
      <c r="I227" s="31" t="s">
        <v>50</v>
      </c>
      <c r="J227" s="29" t="s">
        <v>147</v>
      </c>
      <c r="K227" s="30">
        <v>9788507</v>
      </c>
      <c r="L227" s="8"/>
    </row>
    <row r="228" spans="1:12" ht="15.75" customHeight="1">
      <c r="A228" s="197"/>
      <c r="B228" s="197"/>
      <c r="C228" s="197"/>
      <c r="D228" s="197"/>
      <c r="E228" s="197"/>
      <c r="F228" s="197"/>
      <c r="G228" s="50" t="str">
        <f ca="1">IFERROR(__xludf.DUMMYFUNCTION("IF(I228="""","""",FILTER(DATOS!$D$4:$D$237,DATOS!$B$4:$B$237=I228))"),"19-190")</f>
        <v>19-190</v>
      </c>
      <c r="H228" s="50" t="str">
        <f ca="1">IFERROR(__xludf.DUMMYFUNCTION("IF(I228="""","""",FILTER(DATOS!$C$4:$C$237,DATOS!$B$4:$B$237=I228))"),"CIUDAD BOLIVAR")</f>
        <v>CIUDAD BOLIVAR</v>
      </c>
      <c r="I228" s="37" t="s">
        <v>127</v>
      </c>
      <c r="J228" s="29" t="s">
        <v>147</v>
      </c>
      <c r="K228" s="30">
        <v>29365522</v>
      </c>
      <c r="L228" s="8"/>
    </row>
    <row r="229" spans="1:12" ht="15.75" customHeight="1">
      <c r="A229" s="197"/>
      <c r="B229" s="197"/>
      <c r="C229" s="197"/>
      <c r="D229" s="197"/>
      <c r="E229" s="197"/>
      <c r="F229" s="197"/>
      <c r="G229" s="50" t="str">
        <f ca="1">IFERROR(__xludf.DUMMYFUNCTION("IF(I229="""","""",FILTER(DATOS!$D$4:$D$237,DATOS!$B$4:$B$237=I229))"),"10-171")</f>
        <v>10-171</v>
      </c>
      <c r="H229" s="50" t="str">
        <f ca="1">IFERROR(__xludf.DUMMYFUNCTION("IF(I229="""","""",FILTER(DATOS!$C$4:$C$237,DATOS!$B$4:$B$237=I229))"),"ENGATIVA")</f>
        <v>ENGATIVA</v>
      </c>
      <c r="I229" s="51" t="s">
        <v>37</v>
      </c>
      <c r="J229" s="29" t="s">
        <v>147</v>
      </c>
      <c r="K229" s="30">
        <v>39154030</v>
      </c>
      <c r="L229" s="8"/>
    </row>
    <row r="230" spans="1:12" ht="15.75" customHeight="1">
      <c r="A230" s="197"/>
      <c r="B230" s="197"/>
      <c r="C230" s="197"/>
      <c r="D230" s="197"/>
      <c r="E230" s="197"/>
      <c r="F230" s="197"/>
      <c r="G230" s="50" t="str">
        <f ca="1">IFERROR(__xludf.DUMMYFUNCTION("IF(I230="""","""",FILTER(DATOS!$D$4:$D$237,DATOS!$B$4:$B$237=I230))"),"06-063")</f>
        <v>06-063</v>
      </c>
      <c r="H230" s="50" t="str">
        <f ca="1">IFERROR(__xludf.DUMMYFUNCTION("IF(I230="""","""",FILTER(DATOS!$C$4:$C$237,DATOS!$B$4:$B$237=I230))"),"TUNJUELITO")</f>
        <v>TUNJUELITO</v>
      </c>
      <c r="I230" s="51" t="s">
        <v>88</v>
      </c>
      <c r="J230" s="29" t="s">
        <v>147</v>
      </c>
      <c r="K230" s="30">
        <v>97885074</v>
      </c>
      <c r="L230" s="8"/>
    </row>
    <row r="231" spans="1:12" ht="15.75" customHeight="1">
      <c r="A231" s="197"/>
      <c r="B231" s="197"/>
      <c r="C231" s="197"/>
      <c r="D231" s="197"/>
      <c r="E231" s="197"/>
      <c r="F231" s="197"/>
      <c r="G231" s="50" t="str">
        <f ca="1">IFERROR(__xludf.DUMMYFUNCTION("IF(I231="""","""",FILTER(DATOS!$D$4:$D$237,DATOS!$B$4:$B$237=I231))"),"11-368")</f>
        <v>11-368</v>
      </c>
      <c r="H231" s="50" t="str">
        <f ca="1">IFERROR(__xludf.DUMMYFUNCTION("IF(I231="""","""",FILTER(DATOS!$C$4:$C$237,DATOS!$B$4:$B$237=I231))"),"SUBA")</f>
        <v>SUBA</v>
      </c>
      <c r="I231" s="31" t="s">
        <v>35</v>
      </c>
      <c r="J231" s="29" t="s">
        <v>147</v>
      </c>
      <c r="K231" s="30">
        <v>88096567</v>
      </c>
      <c r="L231" s="8"/>
    </row>
    <row r="232" spans="1:12" ht="15.75" customHeight="1">
      <c r="A232" s="197"/>
      <c r="B232" s="197"/>
      <c r="C232" s="197"/>
      <c r="D232" s="197"/>
      <c r="E232" s="197"/>
      <c r="F232" s="197"/>
      <c r="G232" s="50" t="str">
        <f ca="1">IFERROR(__xludf.DUMMYFUNCTION("IF(I232="""","""",FILTER(DATOS!$D$4:$D$237,DATOS!$B$4:$B$237=I232))"),"08-066")</f>
        <v>08-066</v>
      </c>
      <c r="H232" s="50" t="str">
        <f ca="1">IFERROR(__xludf.DUMMYFUNCTION("IF(I232="""","""",FILTER(DATOS!$C$4:$C$237,DATOS!$B$4:$B$237=I232))"),"KENNEDY")</f>
        <v>KENNEDY</v>
      </c>
      <c r="I232" s="51" t="s">
        <v>110</v>
      </c>
      <c r="J232" s="29" t="s">
        <v>147</v>
      </c>
      <c r="K232" s="30">
        <v>9788507</v>
      </c>
      <c r="L232" s="8"/>
    </row>
    <row r="233" spans="1:12" ht="15.75" customHeight="1">
      <c r="A233" s="197"/>
      <c r="B233" s="197"/>
      <c r="C233" s="197"/>
      <c r="D233" s="197"/>
      <c r="E233" s="197"/>
      <c r="F233" s="197"/>
      <c r="G233" s="50" t="str">
        <f ca="1">IFERROR(__xludf.DUMMYFUNCTION("IF(I233="""","""",FILTER(DATOS!$D$4:$D$237,DATOS!$B$4:$B$237=I233))"),"04-127")</f>
        <v>04-127</v>
      </c>
      <c r="H233" s="50" t="str">
        <f ca="1">IFERROR(__xludf.DUMMYFUNCTION("IF(I233="""","""",FILTER(DATOS!$C$4:$C$237,DATOS!$B$4:$B$237=I233))"),"SAN CRISTOBAL")</f>
        <v>SAN CRISTOBAL</v>
      </c>
      <c r="I233" s="40" t="s">
        <v>124</v>
      </c>
      <c r="J233" s="29" t="s">
        <v>147</v>
      </c>
      <c r="K233" s="30">
        <v>97885074</v>
      </c>
      <c r="L233" s="8"/>
    </row>
    <row r="234" spans="1:12" ht="15.75" customHeight="1">
      <c r="A234" s="197"/>
      <c r="B234" s="197"/>
      <c r="C234" s="197"/>
      <c r="D234" s="197"/>
      <c r="E234" s="197"/>
      <c r="F234" s="197"/>
      <c r="G234" s="50" t="str">
        <f ca="1">IFERROR(__xludf.DUMMYFUNCTION("IF(I234="""","""",FILTER(DATOS!$D$4:$D$237,DATOS!$B$4:$B$237=I234))"),"18-073")</f>
        <v>18-073</v>
      </c>
      <c r="H234" s="50" t="str">
        <f ca="1">IFERROR(__xludf.DUMMYFUNCTION("IF(I234="""","""",FILTER(DATOS!$C$4:$C$237,DATOS!$B$4:$B$237=I234))"),"RAFAEL URIBE")</f>
        <v>RAFAEL URIBE</v>
      </c>
      <c r="I234" s="51" t="s">
        <v>126</v>
      </c>
      <c r="J234" s="29" t="s">
        <v>147</v>
      </c>
      <c r="K234" s="30">
        <v>9788507</v>
      </c>
      <c r="L234" s="8"/>
    </row>
    <row r="235" spans="1:12" ht="15.75" customHeight="1">
      <c r="A235" s="197"/>
      <c r="B235" s="197"/>
      <c r="C235" s="197"/>
      <c r="D235" s="197"/>
      <c r="E235" s="197"/>
      <c r="F235" s="197"/>
      <c r="G235" s="50" t="str">
        <f ca="1">IFERROR(__xludf.DUMMYFUNCTION("IF(I235="""","""",FILTER(DATOS!$D$4:$D$237,DATOS!$B$4:$B$237=I235))"),"11-204")</f>
        <v>11-204</v>
      </c>
      <c r="H235" s="50" t="str">
        <f ca="1">IFERROR(__xludf.DUMMYFUNCTION("IF(I235="""","""",FILTER(DATOS!$C$4:$C$237,DATOS!$B$4:$B$237=I235))"),"SUBA")</f>
        <v>SUBA</v>
      </c>
      <c r="I235" s="31" t="s">
        <v>42</v>
      </c>
      <c r="J235" s="36" t="s">
        <v>147</v>
      </c>
      <c r="K235" s="30">
        <v>19577015</v>
      </c>
      <c r="L235" s="8"/>
    </row>
    <row r="236" spans="1:12" ht="15.75" customHeight="1">
      <c r="A236" s="197"/>
      <c r="B236" s="197"/>
      <c r="C236" s="197"/>
      <c r="D236" s="197"/>
      <c r="E236" s="197"/>
      <c r="F236" s="197"/>
      <c r="G236" s="50" t="str">
        <f ca="1">IFERROR(__xludf.DUMMYFUNCTION("IF(I236="""","""",FILTER(DATOS!$D$4:$D$237,DATOS!$B$4:$B$237=I236))"),"16-416")</f>
        <v>16-416</v>
      </c>
      <c r="H236" s="50" t="str">
        <f ca="1">IFERROR(__xludf.DUMMYFUNCTION("IF(I236="""","""",FILTER(DATOS!$C$4:$C$237,DATOS!$B$4:$B$237=I236))"),"PUENTE ARANDA")</f>
        <v>PUENTE ARANDA</v>
      </c>
      <c r="I236" s="51" t="s">
        <v>49</v>
      </c>
      <c r="J236" s="29" t="s">
        <v>147</v>
      </c>
      <c r="K236" s="30">
        <v>9788507</v>
      </c>
      <c r="L236" s="8"/>
    </row>
    <row r="237" spans="1:12" ht="15.75" customHeight="1">
      <c r="A237" s="197"/>
      <c r="B237" s="197"/>
      <c r="C237" s="197"/>
      <c r="D237" s="197"/>
      <c r="E237" s="197"/>
      <c r="F237" s="197"/>
      <c r="G237" s="50" t="str">
        <f ca="1">IFERROR(__xludf.DUMMYFUNCTION("IF(I237="""","""",FILTER(DATOS!$D$4:$D$237,DATOS!$B$4:$B$237=I237))"),"16-099")</f>
        <v>16-099</v>
      </c>
      <c r="H237" s="50" t="str">
        <f ca="1">IFERROR(__xludf.DUMMYFUNCTION("IF(I237="""","""",FILTER(DATOS!$C$4:$C$237,DATOS!$B$4:$B$237=I237))"),"PUENTE ARANDA")</f>
        <v>PUENTE ARANDA</v>
      </c>
      <c r="I237" s="37" t="s">
        <v>112</v>
      </c>
      <c r="J237" s="29" t="s">
        <v>147</v>
      </c>
      <c r="K237" s="30">
        <v>9788507</v>
      </c>
      <c r="L237" s="8"/>
    </row>
    <row r="238" spans="1:12" ht="15.75" customHeight="1">
      <c r="A238" s="197"/>
      <c r="B238" s="197"/>
      <c r="C238" s="197"/>
      <c r="D238" s="197"/>
      <c r="E238" s="197"/>
      <c r="F238" s="197"/>
      <c r="G238" s="50" t="str">
        <f ca="1">IFERROR(__xludf.DUMMYFUNCTION("IF(I238="""","""",FILTER(DATOS!$D$4:$D$237,DATOS!$B$4:$B$237=I238))"),"12-141")</f>
        <v>12-141</v>
      </c>
      <c r="H238" s="50" t="str">
        <f ca="1">IFERROR(__xludf.DUMMYFUNCTION("IF(I238="""","""",FILTER(DATOS!$C$4:$C$237,DATOS!$B$4:$B$237=I238))"),"BARRIOS UNIDOS")</f>
        <v>BARRIOS UNIDOS</v>
      </c>
      <c r="I238" s="36" t="s">
        <v>48</v>
      </c>
      <c r="J238" s="29" t="s">
        <v>147</v>
      </c>
      <c r="K238" s="30">
        <v>29365522</v>
      </c>
      <c r="L238" s="8"/>
    </row>
    <row r="239" spans="1:12" ht="15.75" customHeight="1">
      <c r="A239" s="197"/>
      <c r="B239" s="197"/>
      <c r="C239" s="197"/>
      <c r="D239" s="197"/>
      <c r="E239" s="197"/>
      <c r="F239" s="197"/>
      <c r="G239" s="50" t="str">
        <f ca="1">IFERROR(__xludf.DUMMYFUNCTION("IF(I239="""","""",FILTER(DATOS!$D$4:$D$237,DATOS!$B$4:$B$237=I239))"),"08-791")</f>
        <v>08-791</v>
      </c>
      <c r="H239" s="50" t="str">
        <f ca="1">IFERROR(__xludf.DUMMYFUNCTION("IF(I239="""","""",FILTER(DATOS!$C$4:$C$237,DATOS!$B$4:$B$237=I239))"),"KENNEDY")</f>
        <v>KENNEDY</v>
      </c>
      <c r="I239" s="54" t="s">
        <v>125</v>
      </c>
      <c r="J239" s="55" t="s">
        <v>147</v>
      </c>
      <c r="K239" s="30">
        <v>9788507</v>
      </c>
      <c r="L239" s="8"/>
    </row>
    <row r="240" spans="1:12" ht="15.75" customHeight="1">
      <c r="A240" s="197"/>
      <c r="B240" s="197"/>
      <c r="C240" s="197"/>
      <c r="D240" s="197"/>
      <c r="E240" s="197"/>
      <c r="F240" s="197"/>
      <c r="G240" s="50" t="str">
        <f ca="1">IFERROR(__xludf.DUMMYFUNCTION("IF(I240="""","""",FILTER(DATOS!$D$4:$D$237,DATOS!$B$4:$B$237=I240))"),"11-204")</f>
        <v>11-204</v>
      </c>
      <c r="H240" s="50" t="str">
        <f ca="1">IFERROR(__xludf.DUMMYFUNCTION("IF(I240="""","""",FILTER(DATOS!$C$4:$C$237,DATOS!$B$4:$B$237=I240))"),"SUBA")</f>
        <v>SUBA</v>
      </c>
      <c r="I240" s="54" t="s">
        <v>68</v>
      </c>
      <c r="J240" s="56" t="s">
        <v>147</v>
      </c>
      <c r="K240" s="30">
        <v>58731045</v>
      </c>
      <c r="L240" s="57"/>
    </row>
    <row r="241" spans="1:12" ht="15.75" customHeight="1">
      <c r="A241" s="197"/>
      <c r="B241" s="197"/>
      <c r="C241" s="197"/>
      <c r="D241" s="197"/>
      <c r="E241" s="197"/>
      <c r="F241" s="197"/>
      <c r="G241" s="50" t="str">
        <f ca="1">IFERROR(__xludf.DUMMYFUNCTION("IF(I241="""","""",FILTER(DATOS!$D$4:$D$237,DATOS!$B$4:$B$237=I241))"),"04-127")</f>
        <v>04-127</v>
      </c>
      <c r="H241" s="50" t="str">
        <f ca="1">IFERROR(__xludf.DUMMYFUNCTION("IF(I241="""","""",FILTER(DATOS!$C$4:$C$237,DATOS!$B$4:$B$237=I241))"),"SAN CRISTOBAL")</f>
        <v>SAN CRISTOBAL</v>
      </c>
      <c r="I241" s="54" t="s">
        <v>124</v>
      </c>
      <c r="J241" s="29" t="s">
        <v>154</v>
      </c>
      <c r="K241" s="30">
        <v>73130064</v>
      </c>
      <c r="L241" s="57"/>
    </row>
    <row r="242" spans="1:12" ht="15.75" customHeight="1">
      <c r="A242" s="197"/>
      <c r="B242" s="197"/>
      <c r="C242" s="197"/>
      <c r="D242" s="197"/>
      <c r="E242" s="197"/>
      <c r="F242" s="197"/>
      <c r="G242" s="50" t="str">
        <f ca="1">IFERROR(__xludf.DUMMYFUNCTION("IF(I242="""","""",FILTER(DATOS!$D$4:$D$237,DATOS!$B$4:$B$237=I242))"),"11-368")</f>
        <v>11-368</v>
      </c>
      <c r="H242" s="50" t="str">
        <f ca="1">IFERROR(__xludf.DUMMYFUNCTION("IF(I242="""","""",FILTER(DATOS!$C$4:$C$237,DATOS!$B$4:$B$237=I242))"),"SUBA")</f>
        <v>SUBA</v>
      </c>
      <c r="I242" s="54" t="s">
        <v>35</v>
      </c>
      <c r="J242" s="29" t="s">
        <v>154</v>
      </c>
      <c r="K242" s="30">
        <v>73130064</v>
      </c>
      <c r="L242" s="57"/>
    </row>
    <row r="243" spans="1:12" ht="15.75" customHeight="1">
      <c r="A243" s="197"/>
      <c r="B243" s="197"/>
      <c r="C243" s="197"/>
      <c r="D243" s="197"/>
      <c r="E243" s="197"/>
      <c r="F243" s="197"/>
      <c r="G243" s="50" t="str">
        <f ca="1">IFERROR(__xludf.DUMMYFUNCTION("IF(I243="""","""",FILTER(DATOS!$D$4:$D$237,DATOS!$B$4:$B$237=I243))"),"06-063")</f>
        <v>06-063</v>
      </c>
      <c r="H243" s="50" t="str">
        <f ca="1">IFERROR(__xludf.DUMMYFUNCTION("IF(I243="""","""",FILTER(DATOS!$C$4:$C$237,DATOS!$B$4:$B$237=I243))"),"TUNJUELITO")</f>
        <v>TUNJUELITO</v>
      </c>
      <c r="I243" s="54" t="s">
        <v>88</v>
      </c>
      <c r="J243" s="29" t="s">
        <v>154</v>
      </c>
      <c r="K243" s="30">
        <v>73130064</v>
      </c>
      <c r="L243" s="57"/>
    </row>
    <row r="244" spans="1:12" ht="15.75" customHeight="1">
      <c r="A244" s="197"/>
      <c r="B244" s="197"/>
      <c r="C244" s="197"/>
      <c r="D244" s="197"/>
      <c r="E244" s="197"/>
      <c r="F244" s="197"/>
      <c r="G244" s="50" t="str">
        <f ca="1">IFERROR(__xludf.DUMMYFUNCTION("IF(I244="""","""",FILTER(DATOS!$D$4:$D$237,DATOS!$B$4:$B$237=I244))"),"11-204")</f>
        <v>11-204</v>
      </c>
      <c r="H244" s="50" t="str">
        <f ca="1">IFERROR(__xludf.DUMMYFUNCTION("IF(I244="""","""",FILTER(DATOS!$C$4:$C$237,DATOS!$B$4:$B$237=I244))"),"SUBA")</f>
        <v>SUBA</v>
      </c>
      <c r="I244" s="51" t="s">
        <v>68</v>
      </c>
      <c r="J244" s="29" t="s">
        <v>154</v>
      </c>
      <c r="K244" s="30">
        <v>37652999</v>
      </c>
      <c r="L244" s="57"/>
    </row>
    <row r="245" spans="1:12" ht="15.75" customHeight="1">
      <c r="A245" s="197"/>
      <c r="B245" s="197"/>
      <c r="C245" s="197"/>
      <c r="D245" s="197"/>
      <c r="E245" s="197"/>
      <c r="F245" s="197"/>
      <c r="G245" s="52" t="str">
        <f ca="1">IFERROR(__xludf.DUMMYFUNCTION("IF(I245="""","""",FILTER(DATOS!$D$4:$D$237,DATOS!$B$4:$B$237=I245))"),"12-1000")</f>
        <v>12-1000</v>
      </c>
      <c r="H245" s="52" t="str">
        <f ca="1">IFERROR(__xludf.DUMMYFUNCTION("IF(I245="""","""",FILTER(DATOS!$C$4:$C$237,DATOS!$B$4:$B$237=I245))"),"BARRIOS UNIDOS")</f>
        <v>BARRIOS UNIDOS</v>
      </c>
      <c r="I245" s="54" t="s">
        <v>28</v>
      </c>
      <c r="J245" s="29" t="s">
        <v>154</v>
      </c>
      <c r="K245" s="30">
        <v>105632315</v>
      </c>
      <c r="L245" s="57"/>
    </row>
    <row r="246" spans="1:12" ht="15.75" customHeight="1">
      <c r="A246" s="197"/>
      <c r="B246" s="197"/>
      <c r="C246" s="197"/>
      <c r="D246" s="197"/>
      <c r="E246" s="197"/>
      <c r="F246" s="197"/>
      <c r="G246" s="50" t="str">
        <f ca="1">IFERROR(__xludf.DUMMYFUNCTION("IF(I246="""","""",FILTER(DATOS!$D$4:$D$237,DATOS!$B$4:$B$237=I246))"),"09-111")</f>
        <v>09-111</v>
      </c>
      <c r="H246" s="50" t="str">
        <f ca="1">IFERROR(__xludf.DUMMYFUNCTION("IF(I246="""","""",FILTER(DATOS!$C$4:$C$237,DATOS!$B$4:$B$237=I246))"),"FONTIBON")</f>
        <v>FONTIBON</v>
      </c>
      <c r="I246" s="54" t="s">
        <v>57</v>
      </c>
      <c r="J246" s="29" t="s">
        <v>154</v>
      </c>
      <c r="K246" s="30">
        <v>32502250</v>
      </c>
      <c r="L246" s="57"/>
    </row>
    <row r="247" spans="1:12" ht="15.75" customHeight="1">
      <c r="A247" s="197"/>
      <c r="B247" s="197"/>
      <c r="C247" s="197"/>
      <c r="D247" s="197"/>
      <c r="E247" s="197"/>
      <c r="F247" s="197"/>
      <c r="G247" s="50" t="str">
        <f ca="1">IFERROR(__xludf.DUMMYFUNCTION("IF(I247="""","""",FILTER(DATOS!$D$4:$D$237,DATOS!$B$4:$B$237=I247))"),"10-223")</f>
        <v>10-223</v>
      </c>
      <c r="H247" s="50" t="str">
        <f ca="1">IFERROR(__xludf.DUMMYFUNCTION("IF(I247="""","""",FILTER(DATOS!$C$4:$C$237,DATOS!$B$4:$B$237=I247))"),"ENGATIVA")</f>
        <v>ENGATIVA</v>
      </c>
      <c r="I247" s="54" t="s">
        <v>41</v>
      </c>
      <c r="J247" s="29" t="s">
        <v>154</v>
      </c>
      <c r="K247" s="30">
        <v>32502250</v>
      </c>
      <c r="L247" s="57"/>
    </row>
    <row r="248" spans="1:12" ht="15.75" customHeight="1">
      <c r="A248" s="197"/>
      <c r="B248" s="197"/>
      <c r="C248" s="197"/>
      <c r="D248" s="197"/>
      <c r="E248" s="197"/>
      <c r="F248" s="197"/>
      <c r="G248" s="50" t="str">
        <f ca="1">IFERROR(__xludf.DUMMYFUNCTION("IF(I248="""","""",FILTER(DATOS!$D$4:$D$237,DATOS!$B$4:$B$237=I248))"),"05-016")</f>
        <v>05-016</v>
      </c>
      <c r="H248" s="50" t="str">
        <f ca="1">IFERROR(__xludf.DUMMYFUNCTION("IF(I248="""","""",FILTER(DATOS!$C$4:$C$237,DATOS!$B$4:$B$237=I248))"),"USME")</f>
        <v>USME</v>
      </c>
      <c r="I248" s="54" t="s">
        <v>89</v>
      </c>
      <c r="J248" s="29" t="s">
        <v>154</v>
      </c>
      <c r="K248" s="30">
        <v>16251125</v>
      </c>
      <c r="L248" s="57"/>
    </row>
    <row r="249" spans="1:12" ht="15.75" customHeight="1">
      <c r="A249" s="197"/>
      <c r="B249" s="197"/>
      <c r="C249" s="197"/>
      <c r="D249" s="197"/>
      <c r="E249" s="197"/>
      <c r="F249" s="197"/>
      <c r="G249" s="50" t="str">
        <f ca="1">IFERROR(__xludf.DUMMYFUNCTION("IF(I249="""","""",FILTER(DATOS!$D$4:$D$237,DATOS!$B$4:$B$237=I249))"),"08-034")</f>
        <v>08-034</v>
      </c>
      <c r="H249" s="50" t="str">
        <f ca="1">IFERROR(__xludf.DUMMYFUNCTION("IF(I249="""","""",FILTER(DATOS!$C$4:$C$237,DATOS!$B$4:$B$237=I249))"),"KENNEDY")</f>
        <v>KENNEDY</v>
      </c>
      <c r="I249" s="54" t="s">
        <v>118</v>
      </c>
      <c r="J249" s="58" t="s">
        <v>154</v>
      </c>
      <c r="K249" s="30">
        <v>16251125</v>
      </c>
      <c r="L249" s="57"/>
    </row>
    <row r="250" spans="1:12" ht="15.75" customHeight="1">
      <c r="A250" s="197"/>
      <c r="B250" s="197"/>
      <c r="C250" s="197"/>
      <c r="D250" s="197"/>
      <c r="E250" s="197"/>
      <c r="F250" s="197"/>
      <c r="G250" s="50" t="str">
        <f ca="1">IFERROR(__xludf.DUMMYFUNCTION("IF(I250="""","""",FILTER(DATOS!$D$4:$D$237,DATOS!$B$4:$B$237=I250))"),"07-152")</f>
        <v>07-152</v>
      </c>
      <c r="H250" s="50" t="str">
        <f ca="1">IFERROR(__xludf.DUMMYFUNCTION("IF(I250="""","""",FILTER(DATOS!$C$4:$C$237,DATOS!$B$4:$B$237=I250))"),"BOSA")</f>
        <v>BOSA</v>
      </c>
      <c r="I250" s="54" t="s">
        <v>92</v>
      </c>
      <c r="J250" s="29" t="s">
        <v>154</v>
      </c>
      <c r="K250" s="30">
        <v>16251125</v>
      </c>
      <c r="L250" s="57"/>
    </row>
    <row r="251" spans="1:12" ht="15.75" customHeight="1">
      <c r="A251" s="197"/>
      <c r="B251" s="197"/>
      <c r="C251" s="197"/>
      <c r="D251" s="197"/>
      <c r="E251" s="197"/>
      <c r="F251" s="197"/>
      <c r="G251" s="50" t="str">
        <f ca="1">IFERROR(__xludf.DUMMYFUNCTION("IF(I251="""","""",FILTER(DATOS!$D$4:$D$237,DATOS!$B$4:$B$237=I251))"),"19-189")</f>
        <v>19-189</v>
      </c>
      <c r="H251" s="50" t="str">
        <f ca="1">IFERROR(__xludf.DUMMYFUNCTION("IF(I251="""","""",FILTER(DATOS!$C$4:$C$237,DATOS!$B$4:$B$237=I251))"),"CIUDAD BOLIVAR")</f>
        <v>CIUDAD BOLIVAR</v>
      </c>
      <c r="I251" s="54" t="s">
        <v>76</v>
      </c>
      <c r="J251" s="29" t="s">
        <v>154</v>
      </c>
      <c r="K251" s="30">
        <v>16251125</v>
      </c>
      <c r="L251" s="57"/>
    </row>
    <row r="252" spans="1:12" ht="15.75" customHeight="1" thickBot="1">
      <c r="A252" s="197"/>
      <c r="B252" s="191"/>
      <c r="C252" s="191"/>
      <c r="D252" s="191"/>
      <c r="E252" s="191"/>
      <c r="F252" s="191"/>
      <c r="G252" s="59" t="str">
        <f ca="1">IFERROR(__xludf.DUMMYFUNCTION("IF(I252="""","""",FILTER(DATOS!$D$4:$D$237,DATOS!$B$4:$B$237=I252))"),"19-230")</f>
        <v>19-230</v>
      </c>
      <c r="H252" s="59" t="str">
        <f ca="1">IFERROR(__xludf.DUMMYFUNCTION("IF(I252="""","""",FILTER(DATOS!$C$4:$C$237,DATOS!$B$4:$B$237=I252))"),"CIUDAD BOLIVAR")</f>
        <v>CIUDAD BOLIVAR</v>
      </c>
      <c r="I252" s="54" t="s">
        <v>111</v>
      </c>
      <c r="J252" s="56" t="s">
        <v>154</v>
      </c>
      <c r="K252" s="60">
        <v>16251125</v>
      </c>
      <c r="L252" s="57"/>
    </row>
    <row r="253" spans="1:12" ht="24">
      <c r="A253" s="222" t="s">
        <v>155</v>
      </c>
      <c r="B253" s="223" t="s">
        <v>156</v>
      </c>
      <c r="C253" s="215" t="s">
        <v>157</v>
      </c>
      <c r="D253" s="224">
        <v>45355</v>
      </c>
      <c r="E253" s="224">
        <v>45691</v>
      </c>
      <c r="F253" s="225">
        <v>0.8</v>
      </c>
      <c r="G253" s="21" t="str">
        <f ca="1">IFERROR(__xludf.DUMMYFUNCTION("IF(I253="""","""",FILTER(DATOS!$D$4:$D$237,DATOS!$B$4:$B$237=I253))"),"01-075")</f>
        <v>01-075</v>
      </c>
      <c r="H253" s="22" t="str">
        <f ca="1">IFERROR(__xludf.DUMMYFUNCTION("IF(I253="""","""",FILTER(DATOS!$C$4:$C$237,DATOS!$B$4:$B$237=I253))"),"USAQUEN")</f>
        <v>USAQUEN</v>
      </c>
      <c r="I253" s="61" t="s">
        <v>20</v>
      </c>
      <c r="J253" s="62" t="s">
        <v>158</v>
      </c>
      <c r="K253" s="25">
        <v>44111536</v>
      </c>
      <c r="L253" s="20">
        <v>19488520739</v>
      </c>
    </row>
    <row r="254" spans="1:12" ht="24">
      <c r="A254" s="214"/>
      <c r="B254" s="197"/>
      <c r="C254" s="197"/>
      <c r="D254" s="197"/>
      <c r="E254" s="197"/>
      <c r="F254" s="197"/>
      <c r="G254" s="26" t="str">
        <f ca="1">IFERROR(__xludf.DUMMYFUNCTION("IF(I254="""","""",FILTER(DATOS!$D$4:$D$237,DATOS!$B$4:$B$237=I254))"),"01-023")</f>
        <v>01-023</v>
      </c>
      <c r="H254" s="27" t="str">
        <f ca="1">IFERROR(__xludf.DUMMYFUNCTION("IF(I254="""","""",FILTER(DATOS!$C$4:$C$237,DATOS!$B$4:$B$237=I254))"),"USAQUEN")</f>
        <v>USAQUEN</v>
      </c>
      <c r="I254" s="63" t="s">
        <v>58</v>
      </c>
      <c r="J254" s="64" t="s">
        <v>159</v>
      </c>
      <c r="K254" s="30">
        <v>44111536</v>
      </c>
      <c r="L254" s="57"/>
    </row>
    <row r="255" spans="1:12" ht="24">
      <c r="A255" s="214"/>
      <c r="B255" s="197"/>
      <c r="C255" s="197"/>
      <c r="D255" s="197"/>
      <c r="E255" s="197"/>
      <c r="F255" s="197"/>
      <c r="G255" s="32" t="str">
        <f ca="1">IFERROR(__xludf.DUMMYFUNCTION("IF(I255="""","""",FILTER(DATOS!$D$4:$D$237,DATOS!$B$4:$B$237=I255))"),"01-1000")</f>
        <v>01-1000</v>
      </c>
      <c r="H255" s="33" t="str">
        <f ca="1">IFERROR(__xludf.DUMMYFUNCTION("IF(I255="""","""",FILTER(DATOS!$C$4:$C$237,DATOS!$B$4:$B$237=I255))"),"USAQUEN")</f>
        <v>USAQUEN</v>
      </c>
      <c r="I255" s="63" t="s">
        <v>29</v>
      </c>
      <c r="J255" s="64" t="s">
        <v>160</v>
      </c>
      <c r="K255" s="30">
        <v>132334626</v>
      </c>
      <c r="L255" s="57"/>
    </row>
    <row r="256" spans="1:12" ht="24">
      <c r="A256" s="214"/>
      <c r="B256" s="197"/>
      <c r="C256" s="197"/>
      <c r="D256" s="197"/>
      <c r="E256" s="197"/>
      <c r="F256" s="197"/>
      <c r="G256" s="26" t="str">
        <f ca="1">IFERROR(__xludf.DUMMYFUNCTION("IF(I256="""","""",FILTER(DATOS!$D$4:$D$237,DATOS!$B$4:$B$237=I256))"),"01-064")</f>
        <v>01-064</v>
      </c>
      <c r="H256" s="27" t="str">
        <f ca="1">IFERROR(__xludf.DUMMYFUNCTION("IF(I256="""","""",FILTER(DATOS!$C$4:$C$237,DATOS!$B$4:$B$237=I256))"),"USAQUEN")</f>
        <v>USAQUEN</v>
      </c>
      <c r="I256" s="63" t="s">
        <v>151</v>
      </c>
      <c r="J256" s="64" t="s">
        <v>160</v>
      </c>
      <c r="K256" s="30">
        <v>44111536</v>
      </c>
      <c r="L256" s="57"/>
    </row>
    <row r="257" spans="1:12" ht="24">
      <c r="A257" s="214"/>
      <c r="B257" s="197"/>
      <c r="C257" s="197"/>
      <c r="D257" s="197"/>
      <c r="E257" s="197"/>
      <c r="F257" s="197"/>
      <c r="G257" s="26" t="str">
        <f ca="1">IFERROR(__xludf.DUMMYFUNCTION("IF(I257="""","""",FILTER(DATOS!$D$4:$D$237,DATOS!$B$4:$B$237=I257))"),"02-014")</f>
        <v>02-014</v>
      </c>
      <c r="H257" s="27" t="str">
        <f ca="1">IFERROR(__xludf.DUMMYFUNCTION("IF(I257="""","""",FILTER(DATOS!$C$4:$C$237,DATOS!$B$4:$B$237=I257))"),"CHAPINERO")</f>
        <v>CHAPINERO</v>
      </c>
      <c r="I257" s="63" t="s">
        <v>152</v>
      </c>
      <c r="J257" s="64" t="s">
        <v>160</v>
      </c>
      <c r="K257" s="30">
        <v>44111536</v>
      </c>
      <c r="L257" s="57"/>
    </row>
    <row r="258" spans="1:12" ht="24">
      <c r="A258" s="214"/>
      <c r="B258" s="197"/>
      <c r="C258" s="197"/>
      <c r="D258" s="197"/>
      <c r="E258" s="197"/>
      <c r="F258" s="197"/>
      <c r="G258" s="26" t="str">
        <f ca="1">IFERROR(__xludf.DUMMYFUNCTION("IF(I258="""","""",FILTER(DATOS!$D$4:$D$237,DATOS!$B$4:$B$237=I258))"),"11-078")</f>
        <v>11-078</v>
      </c>
      <c r="H258" s="27" t="str">
        <f ca="1">IFERROR(__xludf.DUMMYFUNCTION("IF(I258="""","""",FILTER(DATOS!$C$4:$C$237,DATOS!$B$4:$B$237=I258))"),"SUBA")</f>
        <v>SUBA</v>
      </c>
      <c r="I258" s="63" t="s">
        <v>149</v>
      </c>
      <c r="J258" s="64" t="s">
        <v>160</v>
      </c>
      <c r="K258" s="30">
        <v>44111536</v>
      </c>
      <c r="L258" s="57"/>
    </row>
    <row r="259" spans="1:12" ht="24">
      <c r="A259" s="214"/>
      <c r="B259" s="197"/>
      <c r="C259" s="197"/>
      <c r="D259" s="197"/>
      <c r="E259" s="197"/>
      <c r="F259" s="197"/>
      <c r="G259" s="26" t="str">
        <f ca="1">IFERROR(__xludf.DUMMYFUNCTION("IF(I259="""","""",FILTER(DATOS!$D$4:$D$237,DATOS!$B$4:$B$237=I259))"),"11-368")</f>
        <v>11-368</v>
      </c>
      <c r="H259" s="27" t="str">
        <f ca="1">IFERROR(__xludf.DUMMYFUNCTION("IF(I259="""","""",FILTER(DATOS!$C$4:$C$237,DATOS!$B$4:$B$237=I259))"),"SUBA")</f>
        <v>SUBA</v>
      </c>
      <c r="I259" s="63" t="s">
        <v>34</v>
      </c>
      <c r="J259" s="64" t="s">
        <v>160</v>
      </c>
      <c r="K259" s="30">
        <v>264669222</v>
      </c>
      <c r="L259" s="57"/>
    </row>
    <row r="260" spans="1:12" ht="24">
      <c r="A260" s="214"/>
      <c r="B260" s="197"/>
      <c r="C260" s="197"/>
      <c r="D260" s="197"/>
      <c r="E260" s="197"/>
      <c r="F260" s="197"/>
      <c r="G260" s="26" t="str">
        <f ca="1">IFERROR(__xludf.DUMMYFUNCTION("IF(I260="""","""",FILTER(DATOS!$D$4:$D$237,DATOS!$B$4:$B$237=I260))"),"11-212")</f>
        <v>11-212</v>
      </c>
      <c r="H260" s="27" t="str">
        <f ca="1">IFERROR(__xludf.DUMMYFUNCTION("IF(I260="""","""",FILTER(DATOS!$C$4:$C$237,DATOS!$B$4:$B$237=I260))"),"SUBA")</f>
        <v>SUBA</v>
      </c>
      <c r="I260" s="63" t="s">
        <v>27</v>
      </c>
      <c r="J260" s="64" t="s">
        <v>160</v>
      </c>
      <c r="K260" s="30">
        <v>88223073</v>
      </c>
      <c r="L260" s="57"/>
    </row>
    <row r="261" spans="1:12" ht="24">
      <c r="A261" s="214"/>
      <c r="B261" s="197"/>
      <c r="C261" s="197"/>
      <c r="D261" s="197"/>
      <c r="E261" s="197"/>
      <c r="F261" s="197"/>
      <c r="G261" s="26" t="str">
        <f ca="1">IFERROR(__xludf.DUMMYFUNCTION("IF(I261="""","""",FILTER(DATOS!$D$4:$D$237,DATOS!$B$4:$B$237=I261))"),"11-205")</f>
        <v>11-205</v>
      </c>
      <c r="H261" s="27" t="str">
        <f ca="1">IFERROR(__xludf.DUMMYFUNCTION("IF(I261="""","""",FILTER(DATOS!$C$4:$C$237,DATOS!$B$4:$B$237=I261))"),"SUBA")</f>
        <v>SUBA</v>
      </c>
      <c r="I261" s="63" t="s">
        <v>39</v>
      </c>
      <c r="J261" s="64" t="s">
        <v>160</v>
      </c>
      <c r="K261" s="30">
        <v>132334610</v>
      </c>
      <c r="L261" s="57"/>
    </row>
    <row r="262" spans="1:12" ht="24">
      <c r="A262" s="214"/>
      <c r="B262" s="197"/>
      <c r="C262" s="197"/>
      <c r="D262" s="197"/>
      <c r="E262" s="197"/>
      <c r="F262" s="197"/>
      <c r="G262" s="26" t="str">
        <f ca="1">IFERROR(__xludf.DUMMYFUNCTION("IF(I262="""","""",FILTER(DATOS!$D$4:$D$237,DATOS!$B$4:$B$237=I262))"),"11-069")</f>
        <v>11-069</v>
      </c>
      <c r="H262" s="27" t="str">
        <f ca="1">IFERROR(__xludf.DUMMYFUNCTION("IF(I262="""","""",FILTER(DATOS!$C$4:$C$237,DATOS!$B$4:$B$237=I262))"),"SUBA")</f>
        <v>SUBA</v>
      </c>
      <c r="I262" s="63" t="s">
        <v>26</v>
      </c>
      <c r="J262" s="64" t="s">
        <v>160</v>
      </c>
      <c r="K262" s="30">
        <v>88223073</v>
      </c>
      <c r="L262" s="57"/>
    </row>
    <row r="263" spans="1:12" ht="24">
      <c r="A263" s="214"/>
      <c r="B263" s="197"/>
      <c r="C263" s="197"/>
      <c r="D263" s="197"/>
      <c r="E263" s="197"/>
      <c r="F263" s="197"/>
      <c r="G263" s="26" t="str">
        <f ca="1">IFERROR(__xludf.DUMMYFUNCTION("IF(I263="""","""",FILTER(DATOS!$D$4:$D$237,DATOS!$B$4:$B$237=I263))"),"11-368")</f>
        <v>11-368</v>
      </c>
      <c r="H263" s="27" t="str">
        <f ca="1">IFERROR(__xludf.DUMMYFUNCTION("IF(I263="""","""",FILTER(DATOS!$C$4:$C$237,DATOS!$B$4:$B$237=I263))"),"SUBA")</f>
        <v>SUBA</v>
      </c>
      <c r="I263" s="63" t="s">
        <v>35</v>
      </c>
      <c r="J263" s="64" t="s">
        <v>160</v>
      </c>
      <c r="K263" s="30">
        <v>441115370</v>
      </c>
      <c r="L263" s="57"/>
    </row>
    <row r="264" spans="1:12" ht="24">
      <c r="A264" s="214"/>
      <c r="B264" s="197"/>
      <c r="C264" s="197"/>
      <c r="D264" s="197"/>
      <c r="E264" s="197"/>
      <c r="F264" s="197"/>
      <c r="G264" s="26" t="str">
        <f ca="1">IFERROR(__xludf.DUMMYFUNCTION("IF(I264="""","""",FILTER(DATOS!$D$4:$D$237,DATOS!$B$4:$B$237=I264))"),"11-204")</f>
        <v>11-204</v>
      </c>
      <c r="H264" s="27" t="str">
        <f ca="1">IFERROR(__xludf.DUMMYFUNCTION("IF(I264="""","""",FILTER(DATOS!$C$4:$C$237,DATOS!$B$4:$B$237=I264))"),"SUBA")</f>
        <v>SUBA</v>
      </c>
      <c r="I264" s="65" t="s">
        <v>68</v>
      </c>
      <c r="J264" s="64" t="s">
        <v>160</v>
      </c>
      <c r="K264" s="30">
        <v>352892303</v>
      </c>
      <c r="L264" s="57"/>
    </row>
    <row r="265" spans="1:12" ht="24">
      <c r="A265" s="214"/>
      <c r="B265" s="197"/>
      <c r="C265" s="197"/>
      <c r="D265" s="197"/>
      <c r="E265" s="197"/>
      <c r="F265" s="197"/>
      <c r="G265" s="26" t="str">
        <f ca="1">IFERROR(__xludf.DUMMYFUNCTION("IF(I265="""","""",FILTER(DATOS!$D$4:$D$237,DATOS!$B$4:$B$237=I265))"),"11-204")</f>
        <v>11-204</v>
      </c>
      <c r="H265" s="27" t="str">
        <f ca="1">IFERROR(__xludf.DUMMYFUNCTION("IF(I265="""","""",FILTER(DATOS!$C$4:$C$237,DATOS!$B$4:$B$237=I265))"),"SUBA")</f>
        <v>SUBA</v>
      </c>
      <c r="I265" s="65" t="s">
        <v>42</v>
      </c>
      <c r="J265" s="64" t="s">
        <v>160</v>
      </c>
      <c r="K265" s="30">
        <v>132334610</v>
      </c>
      <c r="L265" s="57"/>
    </row>
    <row r="266" spans="1:12" ht="24">
      <c r="A266" s="214"/>
      <c r="B266" s="197"/>
      <c r="C266" s="197"/>
      <c r="D266" s="197"/>
      <c r="E266" s="197"/>
      <c r="F266" s="197"/>
      <c r="G266" s="26" t="str">
        <f ca="1">IFERROR(__xludf.DUMMYFUNCTION("IF(I266="""","""",FILTER(DATOS!$D$4:$D$237,DATOS!$B$4:$B$237=I266))"),"10-311")</f>
        <v>10-311</v>
      </c>
      <c r="H266" s="27" t="str">
        <f ca="1">IFERROR(__xludf.DUMMYFUNCTION("IF(I266="""","""",FILTER(DATOS!$C$4:$C$237,DATOS!$B$4:$B$237=I266))"),"ENGATIVA")</f>
        <v>ENGATIVA</v>
      </c>
      <c r="I266" s="63" t="s">
        <v>38</v>
      </c>
      <c r="J266" s="64" t="s">
        <v>160</v>
      </c>
      <c r="K266" s="30">
        <v>308780758</v>
      </c>
      <c r="L266" s="57"/>
    </row>
    <row r="267" spans="1:12" ht="24">
      <c r="A267" s="214"/>
      <c r="B267" s="197"/>
      <c r="C267" s="197"/>
      <c r="D267" s="197"/>
      <c r="E267" s="197"/>
      <c r="F267" s="197"/>
      <c r="G267" s="26" t="str">
        <f ca="1">IFERROR(__xludf.DUMMYFUNCTION("IF(I267="""","""",FILTER(DATOS!$D$4:$D$237,DATOS!$B$4:$B$237=I267))"),"10-018")</f>
        <v>10-018</v>
      </c>
      <c r="H267" s="27" t="str">
        <f ca="1">IFERROR(__xludf.DUMMYFUNCTION("IF(I267="""","""",FILTER(DATOS!$C$4:$C$237,DATOS!$B$4:$B$237=I267))"),"ENGATIVA")</f>
        <v>ENGATIVA</v>
      </c>
      <c r="I267" s="63" t="s">
        <v>64</v>
      </c>
      <c r="J267" s="64" t="s">
        <v>160</v>
      </c>
      <c r="K267" s="30">
        <v>44111536</v>
      </c>
      <c r="L267" s="57"/>
    </row>
    <row r="268" spans="1:12" ht="24">
      <c r="A268" s="214"/>
      <c r="B268" s="197"/>
      <c r="C268" s="197"/>
      <c r="D268" s="197"/>
      <c r="E268" s="197"/>
      <c r="F268" s="197"/>
      <c r="G268" s="26" t="str">
        <f ca="1">IFERROR(__xludf.DUMMYFUNCTION("IF(I268="""","""",FILTER(DATOS!$D$4:$D$237,DATOS!$B$4:$B$237=I268))"),"10-102")</f>
        <v>10-102</v>
      </c>
      <c r="H268" s="27" t="str">
        <f ca="1">IFERROR(__xludf.DUMMYFUNCTION("IF(I268="""","""",FILTER(DATOS!$C$4:$C$237,DATOS!$B$4:$B$237=I268))"),"ENGATIVA")</f>
        <v>ENGATIVA</v>
      </c>
      <c r="I268" s="63" t="s">
        <v>65</v>
      </c>
      <c r="J268" s="64" t="s">
        <v>160</v>
      </c>
      <c r="K268" s="30">
        <v>44111536</v>
      </c>
      <c r="L268" s="57"/>
    </row>
    <row r="269" spans="1:12" ht="24">
      <c r="A269" s="214"/>
      <c r="B269" s="197"/>
      <c r="C269" s="197"/>
      <c r="D269" s="197"/>
      <c r="E269" s="197"/>
      <c r="F269" s="197"/>
      <c r="G269" s="26" t="str">
        <f ca="1">IFERROR(__xludf.DUMMYFUNCTION("IF(I269="""","""",FILTER(DATOS!$D$4:$D$237,DATOS!$B$4:$B$237=I269))"),"10-169")</f>
        <v>10-169</v>
      </c>
      <c r="H269" s="27" t="str">
        <f ca="1">IFERROR(__xludf.DUMMYFUNCTION("IF(I269="""","""",FILTER(DATOS!$C$4:$C$237,DATOS!$B$4:$B$237=I269))"),"ENGATIVA")</f>
        <v>ENGATIVA</v>
      </c>
      <c r="I269" s="63" t="s">
        <v>30</v>
      </c>
      <c r="J269" s="64" t="s">
        <v>160</v>
      </c>
      <c r="K269" s="30">
        <v>44111536</v>
      </c>
      <c r="L269" s="57"/>
    </row>
    <row r="270" spans="1:12" ht="24">
      <c r="A270" s="214"/>
      <c r="B270" s="197"/>
      <c r="C270" s="197"/>
      <c r="D270" s="197"/>
      <c r="E270" s="197"/>
      <c r="F270" s="197"/>
      <c r="G270" s="26" t="str">
        <f ca="1">IFERROR(__xludf.DUMMYFUNCTION("IF(I270="""","""",FILTER(DATOS!$D$4:$D$237,DATOS!$B$4:$B$237=I270))"),"10-192")</f>
        <v>10-192</v>
      </c>
      <c r="H270" s="27" t="str">
        <f ca="1">IFERROR(__xludf.DUMMYFUNCTION("IF(I270="""","""",FILTER(DATOS!$C$4:$C$237,DATOS!$B$4:$B$237=I270))"),"ENGATIVA")</f>
        <v>ENGATIVA</v>
      </c>
      <c r="I270" s="63" t="s">
        <v>33</v>
      </c>
      <c r="J270" s="64" t="s">
        <v>160</v>
      </c>
      <c r="K270" s="30">
        <v>44111536</v>
      </c>
      <c r="L270" s="57"/>
    </row>
    <row r="271" spans="1:12" ht="24">
      <c r="A271" s="214"/>
      <c r="B271" s="197"/>
      <c r="C271" s="197"/>
      <c r="D271" s="197"/>
      <c r="E271" s="197"/>
      <c r="F271" s="197"/>
      <c r="G271" s="26" t="str">
        <f ca="1">IFERROR(__xludf.DUMMYFUNCTION("IF(I271="""","""",FILTER(DATOS!$D$4:$D$237,DATOS!$B$4:$B$237=I271))"),"10-223")</f>
        <v>10-223</v>
      </c>
      <c r="H271" s="27" t="str">
        <f ca="1">IFERROR(__xludf.DUMMYFUNCTION("IF(I271="""","""",FILTER(DATOS!$C$4:$C$237,DATOS!$B$4:$B$237=I271))"),"ENGATIVA")</f>
        <v>ENGATIVA</v>
      </c>
      <c r="I271" s="63" t="s">
        <v>41</v>
      </c>
      <c r="J271" s="64" t="s">
        <v>160</v>
      </c>
      <c r="K271" s="30">
        <v>88223073</v>
      </c>
      <c r="L271" s="57"/>
    </row>
    <row r="272" spans="1:12" ht="24">
      <c r="A272" s="214"/>
      <c r="B272" s="197"/>
      <c r="C272" s="197"/>
      <c r="D272" s="197"/>
      <c r="E272" s="197"/>
      <c r="F272" s="197"/>
      <c r="G272" s="26" t="str">
        <f ca="1">IFERROR(__xludf.DUMMYFUNCTION("IF(I272="""","""",FILTER(DATOS!$D$4:$D$237,DATOS!$B$4:$B$237=I272))"),"10-234")</f>
        <v>10-234</v>
      </c>
      <c r="H272" s="27" t="str">
        <f ca="1">IFERROR(__xludf.DUMMYFUNCTION("IF(I272="""","""",FILTER(DATOS!$C$4:$C$237,DATOS!$B$4:$B$237=I272))"),"ENGATIVA")</f>
        <v>ENGATIVA</v>
      </c>
      <c r="I272" s="63" t="s">
        <v>56</v>
      </c>
      <c r="J272" s="64" t="s">
        <v>160</v>
      </c>
      <c r="K272" s="30">
        <v>176446147</v>
      </c>
      <c r="L272" s="57"/>
    </row>
    <row r="273" spans="1:12" ht="24">
      <c r="A273" s="214"/>
      <c r="B273" s="197"/>
      <c r="C273" s="197"/>
      <c r="D273" s="197"/>
      <c r="E273" s="197"/>
      <c r="F273" s="197"/>
      <c r="G273" s="26" t="str">
        <f ca="1">IFERROR(__xludf.DUMMYFUNCTION("IF(I273="""","""",FILTER(DATOS!$D$4:$D$237,DATOS!$B$4:$B$237=I273))"),"10-171")</f>
        <v>10-171</v>
      </c>
      <c r="H273" s="27" t="str">
        <f ca="1">IFERROR(__xludf.DUMMYFUNCTION("IF(I273="""","""",FILTER(DATOS!$C$4:$C$237,DATOS!$B$4:$B$237=I273))"),"ENGATIVA")</f>
        <v>ENGATIVA</v>
      </c>
      <c r="I273" s="63" t="s">
        <v>37</v>
      </c>
      <c r="J273" s="64" t="s">
        <v>160</v>
      </c>
      <c r="K273" s="30">
        <v>176446147</v>
      </c>
      <c r="L273" s="57"/>
    </row>
    <row r="274" spans="1:12" ht="24">
      <c r="A274" s="214"/>
      <c r="B274" s="197"/>
      <c r="C274" s="197"/>
      <c r="D274" s="197"/>
      <c r="E274" s="197"/>
      <c r="F274" s="197"/>
      <c r="G274" s="26" t="str">
        <f ca="1">IFERROR(__xludf.DUMMYFUNCTION("IF(I274="""","""",FILTER(DATOS!$D$4:$D$237,DATOS!$B$4:$B$237=I274))"),"10-215")</f>
        <v>10-215</v>
      </c>
      <c r="H274" s="27" t="str">
        <f ca="1">IFERROR(__xludf.DUMMYFUNCTION("IF(I274="""","""",FILTER(DATOS!$C$4:$C$237,DATOS!$B$4:$B$237=I274))"),"ENGATIVA")</f>
        <v>ENGATIVA</v>
      </c>
      <c r="I274" s="63" t="s">
        <v>22</v>
      </c>
      <c r="J274" s="64" t="s">
        <v>160</v>
      </c>
      <c r="K274" s="30">
        <v>44111536</v>
      </c>
      <c r="L274" s="57"/>
    </row>
    <row r="275" spans="1:12" ht="24">
      <c r="A275" s="214"/>
      <c r="B275" s="197"/>
      <c r="C275" s="197"/>
      <c r="D275" s="197"/>
      <c r="E275" s="197"/>
      <c r="F275" s="197"/>
      <c r="G275" s="26" t="str">
        <f ca="1">IFERROR(__xludf.DUMMYFUNCTION("IF(I275="""","""",FILTER(DATOS!$D$4:$D$237,DATOS!$B$4:$B$237=I275))"),"10-531")</f>
        <v>10-531</v>
      </c>
      <c r="H275" s="26" t="str">
        <f ca="1">IFERROR(__xludf.DUMMYFUNCTION("IF(I275="""","""",FILTER(DATOS!$C$4:$C$237,DATOS!$B$4:$B$237=I275))"),"ENGATIVA")</f>
        <v>ENGATIVA</v>
      </c>
      <c r="I275" s="66" t="s">
        <v>52</v>
      </c>
      <c r="J275" s="64" t="s">
        <v>160</v>
      </c>
      <c r="K275" s="30">
        <v>49998979</v>
      </c>
      <c r="L275" s="57"/>
    </row>
    <row r="276" spans="1:12" ht="24">
      <c r="A276" s="214"/>
      <c r="B276" s="197"/>
      <c r="C276" s="197"/>
      <c r="D276" s="197"/>
      <c r="E276" s="197"/>
      <c r="F276" s="197"/>
      <c r="G276" s="26" t="str">
        <f ca="1">IFERROR(__xludf.DUMMYFUNCTION("IF(I276="""","""",FILTER(DATOS!$D$4:$D$237,DATOS!$B$4:$B$237=I276))"),"12-091")</f>
        <v>12-091</v>
      </c>
      <c r="H276" s="27" t="str">
        <f ca="1">IFERROR(__xludf.DUMMYFUNCTION("IF(I276="""","""",FILTER(DATOS!$C$4:$C$237,DATOS!$B$4:$B$237=I276))"),"BARRIOS UNIDOS")</f>
        <v>BARRIOS UNIDOS</v>
      </c>
      <c r="I276" s="63" t="s">
        <v>53</v>
      </c>
      <c r="J276" s="64" t="s">
        <v>160</v>
      </c>
      <c r="K276" s="30">
        <v>290426567</v>
      </c>
      <c r="L276" s="57"/>
    </row>
    <row r="277" spans="1:12" ht="24">
      <c r="A277" s="214"/>
      <c r="B277" s="197"/>
      <c r="C277" s="197"/>
      <c r="D277" s="197"/>
      <c r="E277" s="197"/>
      <c r="F277" s="197"/>
      <c r="G277" s="26" t="str">
        <f ca="1">IFERROR(__xludf.DUMMYFUNCTION("IF(I277="""","""",FILTER(DATOS!$D$4:$D$237,DATOS!$B$4:$B$237=I277))"),"12-091")</f>
        <v>12-091</v>
      </c>
      <c r="H277" s="27" t="str">
        <f ca="1">IFERROR(__xludf.DUMMYFUNCTION("IF(I277="""","""",FILTER(DATOS!$C$4:$C$237,DATOS!$B$4:$B$237=I277))"),"BARRIOS UNIDOS")</f>
        <v>BARRIOS UNIDOS</v>
      </c>
      <c r="I277" s="63" t="s">
        <v>53</v>
      </c>
      <c r="J277" s="64" t="s">
        <v>160</v>
      </c>
      <c r="K277" s="30">
        <v>123157514</v>
      </c>
      <c r="L277" s="57"/>
    </row>
    <row r="278" spans="1:12" ht="24">
      <c r="A278" s="214"/>
      <c r="B278" s="197"/>
      <c r="C278" s="197"/>
      <c r="D278" s="197"/>
      <c r="E278" s="197"/>
      <c r="F278" s="197"/>
      <c r="G278" s="26" t="str">
        <f ca="1">IFERROR(__xludf.DUMMYFUNCTION("IF(I278="""","""",FILTER(DATOS!$D$4:$D$237,DATOS!$B$4:$B$237=I278))"),"12-015")</f>
        <v>12-015</v>
      </c>
      <c r="H278" s="27" t="str">
        <f ca="1">IFERROR(__xludf.DUMMYFUNCTION("IF(I278="""","""",FILTER(DATOS!$C$4:$C$237,DATOS!$B$4:$B$237=I278))"),"BARRIOS UNIDOS")</f>
        <v>BARRIOS UNIDOS</v>
      </c>
      <c r="I278" s="63" t="s">
        <v>19</v>
      </c>
      <c r="J278" s="64" t="s">
        <v>160</v>
      </c>
      <c r="K278" s="30">
        <v>44111536</v>
      </c>
      <c r="L278" s="57"/>
    </row>
    <row r="279" spans="1:12" ht="24">
      <c r="A279" s="214"/>
      <c r="B279" s="197"/>
      <c r="C279" s="197"/>
      <c r="D279" s="197"/>
      <c r="E279" s="197"/>
      <c r="F279" s="197"/>
      <c r="G279" s="26" t="str">
        <f ca="1">IFERROR(__xludf.DUMMYFUNCTION("IF(I279="""","""",FILTER(DATOS!$D$4:$D$237,DATOS!$B$4:$B$237=I279))"),"12-023")</f>
        <v>12-023</v>
      </c>
      <c r="H279" s="27" t="str">
        <f ca="1">IFERROR(__xludf.DUMMYFUNCTION("IF(I279="""","""",FILTER(DATOS!$C$4:$C$237,DATOS!$B$4:$B$237=I279))"),"BARRIOS UNIDOS")</f>
        <v>BARRIOS UNIDOS</v>
      </c>
      <c r="I279" s="63" t="s">
        <v>36</v>
      </c>
      <c r="J279" s="64" t="s">
        <v>160</v>
      </c>
      <c r="K279" s="30">
        <v>67054276</v>
      </c>
      <c r="L279" s="57"/>
    </row>
    <row r="280" spans="1:12" ht="24">
      <c r="A280" s="214"/>
      <c r="B280" s="197"/>
      <c r="C280" s="197"/>
      <c r="D280" s="197"/>
      <c r="E280" s="197"/>
      <c r="F280" s="197"/>
      <c r="G280" s="26" t="str">
        <f ca="1">IFERROR(__xludf.DUMMYFUNCTION("IF(I280="""","""",FILTER(DATOS!$D$4:$D$237,DATOS!$B$4:$B$237=I280))"),"12-092")</f>
        <v>12-092</v>
      </c>
      <c r="H280" s="27" t="str">
        <f ca="1">IFERROR(__xludf.DUMMYFUNCTION("IF(I280="""","""",FILTER(DATOS!$C$4:$C$237,DATOS!$B$4:$B$237=I280))"),"BARRIOS UNIDOS")</f>
        <v>BARRIOS UNIDOS</v>
      </c>
      <c r="I280" s="65" t="s">
        <v>31</v>
      </c>
      <c r="J280" s="64" t="s">
        <v>160</v>
      </c>
      <c r="K280" s="30">
        <v>250903578</v>
      </c>
      <c r="L280" s="57"/>
    </row>
    <row r="281" spans="1:12" ht="24">
      <c r="A281" s="214"/>
      <c r="B281" s="197"/>
      <c r="C281" s="197"/>
      <c r="D281" s="197"/>
      <c r="E281" s="197"/>
      <c r="F281" s="197"/>
      <c r="G281" s="26" t="str">
        <f ca="1">IFERROR(__xludf.DUMMYFUNCTION("IF(I281="""","""",FILTER(DATOS!$D$4:$D$237,DATOS!$B$4:$B$237=I281))"),"12-141")</f>
        <v>12-141</v>
      </c>
      <c r="H281" s="27" t="str">
        <f ca="1">IFERROR(__xludf.DUMMYFUNCTION("IF(I281="""","""",FILTER(DATOS!$C$4:$C$237,DATOS!$B$4:$B$237=I281))"),"BARRIOS UNIDOS")</f>
        <v>BARRIOS UNIDOS</v>
      </c>
      <c r="I281" s="65" t="s">
        <v>48</v>
      </c>
      <c r="J281" s="64" t="s">
        <v>160</v>
      </c>
      <c r="K281" s="30">
        <v>127746062</v>
      </c>
      <c r="L281" s="57"/>
    </row>
    <row r="282" spans="1:12" ht="24">
      <c r="A282" s="214"/>
      <c r="B282" s="197"/>
      <c r="C282" s="197"/>
      <c r="D282" s="197"/>
      <c r="E282" s="197"/>
      <c r="F282" s="197"/>
      <c r="G282" s="26" t="str">
        <f ca="1">IFERROR(__xludf.DUMMYFUNCTION("IF(I282="""","""",FILTER(DATOS!$D$4:$D$237,DATOS!$B$4:$B$237=I282))"),"12-117")</f>
        <v>12-117</v>
      </c>
      <c r="H282" s="27" t="str">
        <f ca="1">IFERROR(__xludf.DUMMYFUNCTION("IF(I282="""","""",FILTER(DATOS!$C$4:$C$237,DATOS!$B$4:$B$237=I282))"),"BARRIOS UNIDOS")</f>
        <v>BARRIOS UNIDOS</v>
      </c>
      <c r="I282" s="65" t="s">
        <v>50</v>
      </c>
      <c r="J282" s="64" t="s">
        <v>160</v>
      </c>
      <c r="K282" s="30">
        <v>88223073</v>
      </c>
      <c r="L282" s="57"/>
    </row>
    <row r="283" spans="1:12" ht="24">
      <c r="A283" s="214"/>
      <c r="B283" s="197"/>
      <c r="C283" s="197"/>
      <c r="D283" s="197"/>
      <c r="E283" s="197"/>
      <c r="F283" s="197"/>
      <c r="G283" s="26" t="str">
        <f ca="1">IFERROR(__xludf.DUMMYFUNCTION("IF(I283="""","""",FILTER(DATOS!$D$4:$D$237,DATOS!$B$4:$B$237=I283))"),"12-110")</f>
        <v>12-110</v>
      </c>
      <c r="H283" s="27" t="str">
        <f ca="1">IFERROR(__xludf.DUMMYFUNCTION("IF(I283="""","""",FILTER(DATOS!$C$4:$C$237,DATOS!$B$4:$B$237=I283))"),"BARRIOS UNIDOS")</f>
        <v>BARRIOS UNIDOS</v>
      </c>
      <c r="I283" s="65" t="s">
        <v>120</v>
      </c>
      <c r="J283" s="64" t="s">
        <v>160</v>
      </c>
      <c r="K283" s="30">
        <v>138697099</v>
      </c>
      <c r="L283" s="57"/>
    </row>
    <row r="284" spans="1:12" ht="24.75">
      <c r="A284" s="214"/>
      <c r="B284" s="197"/>
      <c r="C284" s="197"/>
      <c r="D284" s="197"/>
      <c r="E284" s="197"/>
      <c r="F284" s="197"/>
      <c r="G284" s="26" t="str">
        <f ca="1">IFERROR(__xludf.DUMMYFUNCTION("IF(I284="""","""",FILTER(DATOS!$D$4:$D$237,DATOS!$B$4:$B$237=I284))"),"10-290")</f>
        <v>10-290</v>
      </c>
      <c r="H284" s="27" t="str">
        <f ca="1">IFERROR(__xludf.DUMMYFUNCTION("IF(I284="""","""",FILTER(DATOS!$C$4:$C$237,DATOS!$B$4:$B$237=I284))"),"ENGATIVA")</f>
        <v>ENGATIVA</v>
      </c>
      <c r="I284" s="65" t="s">
        <v>62</v>
      </c>
      <c r="J284" s="64" t="s">
        <v>160</v>
      </c>
      <c r="K284" s="30">
        <v>559684338</v>
      </c>
      <c r="L284" s="57"/>
    </row>
    <row r="285" spans="1:12" ht="24">
      <c r="A285" s="214"/>
      <c r="B285" s="197"/>
      <c r="C285" s="197"/>
      <c r="D285" s="197"/>
      <c r="E285" s="197"/>
      <c r="F285" s="197"/>
      <c r="G285" s="32" t="str">
        <f ca="1">IFERROR(__xludf.DUMMYFUNCTION("IF(I285="""","""",FILTER(DATOS!$D$4:$D$237,DATOS!$B$4:$B$237=I285))"),"12-1000")</f>
        <v>12-1000</v>
      </c>
      <c r="H285" s="33" t="str">
        <f ca="1">IFERROR(__xludf.DUMMYFUNCTION("IF(I285="""","""",FILTER(DATOS!$C$4:$C$237,DATOS!$B$4:$B$237=I285))"),"BARRIOS UNIDOS")</f>
        <v>BARRIOS UNIDOS</v>
      </c>
      <c r="I285" s="65" t="s">
        <v>28</v>
      </c>
      <c r="J285" s="64" t="s">
        <v>160</v>
      </c>
      <c r="K285" s="30">
        <v>404406987</v>
      </c>
      <c r="L285" s="57"/>
    </row>
    <row r="286" spans="1:12" ht="24">
      <c r="A286" s="214"/>
      <c r="B286" s="197"/>
      <c r="C286" s="197"/>
      <c r="D286" s="197"/>
      <c r="E286" s="197"/>
      <c r="F286" s="197"/>
      <c r="G286" s="26" t="str">
        <f ca="1">IFERROR(__xludf.DUMMYFUNCTION("IF(I286="""","""",FILTER(DATOS!$D$4:$D$237,DATOS!$B$4:$B$237=I286))"),"12-125")</f>
        <v>12-125</v>
      </c>
      <c r="H286" s="27" t="str">
        <f ca="1">IFERROR(__xludf.DUMMYFUNCTION("IF(I286="""","""",FILTER(DATOS!$C$4:$C$237,DATOS!$B$4:$B$237=I286))"),"BARRIOS UNIDOS")</f>
        <v>BARRIOS UNIDOS</v>
      </c>
      <c r="I286" s="63" t="s">
        <v>47</v>
      </c>
      <c r="J286" s="64" t="s">
        <v>160</v>
      </c>
      <c r="K286" s="30">
        <v>111165812</v>
      </c>
      <c r="L286" s="57"/>
    </row>
    <row r="287" spans="1:12" ht="24">
      <c r="A287" s="214"/>
      <c r="B287" s="197"/>
      <c r="C287" s="197"/>
      <c r="D287" s="197"/>
      <c r="E287" s="197"/>
      <c r="F287" s="197"/>
      <c r="G287" s="26" t="str">
        <f ca="1">IFERROR(__xludf.DUMMYFUNCTION("IF(I287="""","""",FILTER(DATOS!$D$4:$D$237,DATOS!$B$4:$B$237=I287))"),"13-122")</f>
        <v>13-122</v>
      </c>
      <c r="H287" s="27" t="str">
        <f ca="1">IFERROR(__xludf.DUMMYFUNCTION("IF(I287="""","""",FILTER(DATOS!$C$4:$C$237,DATOS!$B$4:$B$237=I287))"),"TEUSAQUILLO")</f>
        <v>TEUSAQUILLO</v>
      </c>
      <c r="I287" s="63" t="s">
        <v>32</v>
      </c>
      <c r="J287" s="64" t="s">
        <v>160</v>
      </c>
      <c r="K287" s="30">
        <v>281249471</v>
      </c>
      <c r="L287" s="57"/>
    </row>
    <row r="288" spans="1:12" ht="24">
      <c r="A288" s="214"/>
      <c r="B288" s="197"/>
      <c r="C288" s="197"/>
      <c r="D288" s="197"/>
      <c r="E288" s="197"/>
      <c r="F288" s="197"/>
      <c r="G288" s="26" t="str">
        <f ca="1">IFERROR(__xludf.DUMMYFUNCTION("IF(I288="""","""",FILTER(DATOS!$D$4:$D$237,DATOS!$B$4:$B$237=I288))"),"13-123")</f>
        <v>13-123</v>
      </c>
      <c r="H288" s="27" t="str">
        <f ca="1">IFERROR(__xludf.DUMMYFUNCTION("IF(I288="""","""",FILTER(DATOS!$C$4:$C$237,DATOS!$B$4:$B$237=I288))"),"TEUSAQUILLO")</f>
        <v>TEUSAQUILLO</v>
      </c>
      <c r="I288" s="65" t="s">
        <v>23</v>
      </c>
      <c r="J288" s="64" t="s">
        <v>160</v>
      </c>
      <c r="K288" s="30">
        <v>44111536</v>
      </c>
      <c r="L288" s="57"/>
    </row>
    <row r="289" spans="1:12" ht="24">
      <c r="A289" s="214"/>
      <c r="B289" s="197"/>
      <c r="C289" s="197"/>
      <c r="D289" s="197"/>
      <c r="E289" s="197"/>
      <c r="F289" s="197"/>
      <c r="G289" s="26" t="str">
        <f ca="1">IFERROR(__xludf.DUMMYFUNCTION("IF(I289="""","""",FILTER(DATOS!$D$4:$D$237,DATOS!$B$4:$B$237=I289))"),"13-088")</f>
        <v>13-088</v>
      </c>
      <c r="H289" s="27" t="str">
        <f ca="1">IFERROR(__xludf.DUMMYFUNCTION("IF(I289="""","""",FILTER(DATOS!$C$4:$C$237,DATOS!$B$4:$B$237=I289))"),"TEUSAQUILLO")</f>
        <v>TEUSAQUILLO</v>
      </c>
      <c r="I289" s="63" t="s">
        <v>66</v>
      </c>
      <c r="J289" s="64" t="s">
        <v>160</v>
      </c>
      <c r="K289" s="30">
        <v>112939753</v>
      </c>
      <c r="L289" s="57"/>
    </row>
    <row r="290" spans="1:12" ht="24">
      <c r="A290" s="214"/>
      <c r="B290" s="197"/>
      <c r="C290" s="197"/>
      <c r="D290" s="197"/>
      <c r="E290" s="197"/>
      <c r="F290" s="197"/>
      <c r="G290" s="26" t="str">
        <f ca="1">IFERROR(__xludf.DUMMYFUNCTION("IF(I290="""","""",FILTER(DATOS!$D$4:$D$237,DATOS!$B$4:$B$237=I290))"),"13-089")</f>
        <v>13-089</v>
      </c>
      <c r="H290" s="27" t="str">
        <f ca="1">IFERROR(__xludf.DUMMYFUNCTION("IF(I290="""","""",FILTER(DATOS!$C$4:$C$237,DATOS!$B$4:$B$237=I290))"),"TEUSAQUILLO")</f>
        <v>TEUSAQUILLO</v>
      </c>
      <c r="I290" s="63" t="s">
        <v>59</v>
      </c>
      <c r="J290" s="64" t="s">
        <v>160</v>
      </c>
      <c r="K290" s="30">
        <v>636956376</v>
      </c>
      <c r="L290" s="57"/>
    </row>
    <row r="291" spans="1:12" ht="24">
      <c r="A291" s="214"/>
      <c r="B291" s="197"/>
      <c r="C291" s="197"/>
      <c r="D291" s="197"/>
      <c r="E291" s="197"/>
      <c r="F291" s="197"/>
      <c r="G291" s="26" t="str">
        <f ca="1">IFERROR(__xludf.DUMMYFUNCTION("IF(I291="""","""",FILTER(DATOS!$D$4:$D$237,DATOS!$B$4:$B$237=I291))"),"07-035")</f>
        <v>07-035</v>
      </c>
      <c r="H291" s="27" t="str">
        <f ca="1">IFERROR(__xludf.DUMMYFUNCTION("IF(I291="""","""",FILTER(DATOS!$C$4:$C$237,DATOS!$B$4:$B$237=I291))"),"BOSA")</f>
        <v>BOSA</v>
      </c>
      <c r="I291" s="63" t="s">
        <v>116</v>
      </c>
      <c r="J291" s="64" t="s">
        <v>160</v>
      </c>
      <c r="K291" s="30">
        <v>44111536</v>
      </c>
      <c r="L291" s="57"/>
    </row>
    <row r="292" spans="1:12" ht="24">
      <c r="A292" s="214"/>
      <c r="B292" s="197"/>
      <c r="C292" s="197"/>
      <c r="D292" s="197"/>
      <c r="E292" s="197"/>
      <c r="F292" s="197"/>
      <c r="G292" s="26" t="str">
        <f ca="1">IFERROR(__xludf.DUMMYFUNCTION("IF(I292="""","""",FILTER(DATOS!$D$4:$D$237,DATOS!$B$4:$B$237=I292))"),"07-165")</f>
        <v>07-165</v>
      </c>
      <c r="H292" s="27" t="str">
        <f ca="1">IFERROR(__xludf.DUMMYFUNCTION("IF(I292="""","""",FILTER(DATOS!$C$4:$C$237,DATOS!$B$4:$B$237=I292))"),"BOSA")</f>
        <v>BOSA</v>
      </c>
      <c r="I292" s="63" t="s">
        <v>107</v>
      </c>
      <c r="J292" s="64" t="s">
        <v>160</v>
      </c>
      <c r="K292" s="30">
        <v>48700084</v>
      </c>
      <c r="L292" s="57"/>
    </row>
    <row r="293" spans="1:12" ht="24">
      <c r="A293" s="214"/>
      <c r="B293" s="197"/>
      <c r="C293" s="197"/>
      <c r="D293" s="197"/>
      <c r="E293" s="197"/>
      <c r="F293" s="197"/>
      <c r="G293" s="26" t="str">
        <f ca="1">IFERROR(__xludf.DUMMYFUNCTION("IF(I293="""","""",FILTER(DATOS!$D$4:$D$237,DATOS!$B$4:$B$237=I293))"),"07-163")</f>
        <v>07-163</v>
      </c>
      <c r="H293" s="27" t="str">
        <f ca="1">IFERROR(__xludf.DUMMYFUNCTION("IF(I293="""","""",FILTER(DATOS!$C$4:$C$237,DATOS!$B$4:$B$237=I293))"),"BOSA")</f>
        <v>BOSA</v>
      </c>
      <c r="I293" s="63" t="s">
        <v>80</v>
      </c>
      <c r="J293" s="64" t="s">
        <v>160</v>
      </c>
      <c r="K293" s="30">
        <v>83634525</v>
      </c>
      <c r="L293" s="57"/>
    </row>
    <row r="294" spans="1:12" ht="24">
      <c r="A294" s="214"/>
      <c r="B294" s="197"/>
      <c r="C294" s="197"/>
      <c r="D294" s="197"/>
      <c r="E294" s="197"/>
      <c r="F294" s="197"/>
      <c r="G294" s="26" t="str">
        <f ca="1">IFERROR(__xludf.DUMMYFUNCTION("IF(I294="""","""",FILTER(DATOS!$D$4:$D$237,DATOS!$B$4:$B$237=I294))"),"07-164")</f>
        <v>07-164</v>
      </c>
      <c r="H294" s="27" t="str">
        <f ca="1">IFERROR(__xludf.DUMMYFUNCTION("IF(I294="""","""",FILTER(DATOS!$C$4:$C$237,DATOS!$B$4:$B$237=I294))"),"BOSA")</f>
        <v>BOSA</v>
      </c>
      <c r="I294" s="63" t="s">
        <v>85</v>
      </c>
      <c r="J294" s="64" t="s">
        <v>160</v>
      </c>
      <c r="K294" s="30">
        <v>53288632</v>
      </c>
      <c r="L294" s="57"/>
    </row>
    <row r="295" spans="1:12" ht="24">
      <c r="A295" s="214"/>
      <c r="B295" s="197"/>
      <c r="C295" s="197"/>
      <c r="D295" s="197"/>
      <c r="E295" s="197"/>
      <c r="F295" s="197"/>
      <c r="G295" s="26" t="str">
        <f ca="1">IFERROR(__xludf.DUMMYFUNCTION("IF(I295="""","""",FILTER(DATOS!$D$4:$D$237,DATOS!$B$4:$B$237=I295))"),"07-260")</f>
        <v>07-260</v>
      </c>
      <c r="H295" s="27" t="str">
        <f ca="1">IFERROR(__xludf.DUMMYFUNCTION("IF(I295="""","""",FILTER(DATOS!$C$4:$C$237,DATOS!$B$4:$B$237=I295))"),"BOSA")</f>
        <v>BOSA</v>
      </c>
      <c r="I295" s="65" t="s">
        <v>84</v>
      </c>
      <c r="J295" s="64" t="s">
        <v>160</v>
      </c>
      <c r="K295" s="30">
        <v>132334610</v>
      </c>
      <c r="L295" s="57"/>
    </row>
    <row r="296" spans="1:12" ht="24">
      <c r="A296" s="214"/>
      <c r="B296" s="197"/>
      <c r="C296" s="197"/>
      <c r="D296" s="197"/>
      <c r="E296" s="197"/>
      <c r="F296" s="197"/>
      <c r="G296" s="26" t="str">
        <f ca="1">IFERROR(__xludf.DUMMYFUNCTION("IF(I296="""","""",FILTER(DATOS!$D$4:$D$237,DATOS!$B$4:$B$237=I296))"),"07-391")</f>
        <v>07-391</v>
      </c>
      <c r="H296" s="27" t="str">
        <f ca="1">IFERROR(__xludf.DUMMYFUNCTION("IF(I296="""","""",FILTER(DATOS!$C$4:$C$237,DATOS!$B$4:$B$237=I296))"),"BOSA")</f>
        <v>BOSA</v>
      </c>
      <c r="I296" s="65" t="s">
        <v>119</v>
      </c>
      <c r="J296" s="64" t="s">
        <v>160</v>
      </c>
      <c r="K296" s="30">
        <v>123157514</v>
      </c>
      <c r="L296" s="57"/>
    </row>
    <row r="297" spans="1:12" ht="24">
      <c r="A297" s="214"/>
      <c r="B297" s="197"/>
      <c r="C297" s="197"/>
      <c r="D297" s="197"/>
      <c r="E297" s="197"/>
      <c r="F297" s="197"/>
      <c r="G297" s="26" t="str">
        <f ca="1">IFERROR(__xludf.DUMMYFUNCTION("IF(I297="""","""",FILTER(DATOS!$D$4:$D$237,DATOS!$B$4:$B$237=I297))"),"07-036")</f>
        <v>07-036</v>
      </c>
      <c r="H297" s="27" t="str">
        <f ca="1">IFERROR(__xludf.DUMMYFUNCTION("IF(I297="""","""",FILTER(DATOS!$C$4:$C$237,DATOS!$B$4:$B$237=I297))"),"BOSA")</f>
        <v>BOSA</v>
      </c>
      <c r="I297" s="65" t="s">
        <v>131</v>
      </c>
      <c r="J297" s="64" t="s">
        <v>160</v>
      </c>
      <c r="K297" s="30">
        <v>44111536</v>
      </c>
      <c r="L297" s="57"/>
    </row>
    <row r="298" spans="1:12" ht="24">
      <c r="A298" s="214"/>
      <c r="B298" s="197"/>
      <c r="C298" s="197"/>
      <c r="D298" s="197"/>
      <c r="E298" s="197"/>
      <c r="F298" s="197"/>
      <c r="G298" s="26" t="str">
        <f ca="1">IFERROR(__xludf.DUMMYFUNCTION("IF(I298="""","""",FILTER(DATOS!$D$4:$D$237,DATOS!$B$4:$B$237=I298))"),"07-274")</f>
        <v>07-274</v>
      </c>
      <c r="H298" s="27" t="str">
        <f ca="1">IFERROR(__xludf.DUMMYFUNCTION("IF(I298="""","""",FILTER(DATOS!$C$4:$C$237,DATOS!$B$4:$B$237=I298))"),"BOSA")</f>
        <v>BOSA</v>
      </c>
      <c r="I298" s="65" t="s">
        <v>130</v>
      </c>
      <c r="J298" s="64" t="s">
        <v>160</v>
      </c>
      <c r="K298" s="30">
        <v>44111536</v>
      </c>
      <c r="L298" s="57"/>
    </row>
    <row r="299" spans="1:12" ht="24">
      <c r="A299" s="214"/>
      <c r="B299" s="197"/>
      <c r="C299" s="197"/>
      <c r="D299" s="197"/>
      <c r="E299" s="197"/>
      <c r="F299" s="197"/>
      <c r="G299" s="26" t="str">
        <f ca="1">IFERROR(__xludf.DUMMYFUNCTION("IF(I299="""","""",FILTER(DATOS!$D$4:$D$237,DATOS!$B$4:$B$237=I299))"),"07-273")</f>
        <v>07-273</v>
      </c>
      <c r="H299" s="27" t="str">
        <f ca="1">IFERROR(__xludf.DUMMYFUNCTION("IF(I299="""","""",FILTER(DATOS!$C$4:$C$237,DATOS!$B$4:$B$237=I299))"),"BOSA")</f>
        <v>BOSA</v>
      </c>
      <c r="I299" s="65" t="s">
        <v>103</v>
      </c>
      <c r="J299" s="64" t="s">
        <v>160</v>
      </c>
      <c r="K299" s="30">
        <v>48700084</v>
      </c>
      <c r="L299" s="57"/>
    </row>
    <row r="300" spans="1:12" ht="24">
      <c r="A300" s="214"/>
      <c r="B300" s="197"/>
      <c r="C300" s="197"/>
      <c r="D300" s="197"/>
      <c r="E300" s="197"/>
      <c r="F300" s="197"/>
      <c r="G300" s="26" t="str">
        <f ca="1">IFERROR(__xludf.DUMMYFUNCTION("IF(I300="""","""",FILTER(DATOS!$D$4:$D$237,DATOS!$B$4:$B$237=I300))"),"07-436")</f>
        <v>07-436</v>
      </c>
      <c r="H300" s="27" t="str">
        <f ca="1">IFERROR(__xludf.DUMMYFUNCTION("IF(I300="""","""",FILTER(DATOS!$C$4:$C$237,DATOS!$B$4:$B$237=I300))"),"BOSA")</f>
        <v>BOSA</v>
      </c>
      <c r="I300" s="65" t="s">
        <v>140</v>
      </c>
      <c r="J300" s="64" t="s">
        <v>160</v>
      </c>
      <c r="K300" s="30">
        <v>92811621</v>
      </c>
      <c r="L300" s="57"/>
    </row>
    <row r="301" spans="1:12" ht="24">
      <c r="A301" s="214"/>
      <c r="B301" s="197"/>
      <c r="C301" s="197"/>
      <c r="D301" s="197"/>
      <c r="E301" s="197"/>
      <c r="F301" s="197"/>
      <c r="G301" s="26" t="str">
        <f ca="1">IFERROR(__xludf.DUMMYFUNCTION("IF(I301="""","""",FILTER(DATOS!$D$4:$D$237,DATOS!$B$4:$B$237=I301))"),"08-554")</f>
        <v>08-554</v>
      </c>
      <c r="H301" s="27" t="str">
        <f ca="1">IFERROR(__xludf.DUMMYFUNCTION("IF(I301="""","""",FILTER(DATOS!$C$4:$C$237,DATOS!$B$4:$B$237=I301))"),"KENNEDY")</f>
        <v>KENNEDY</v>
      </c>
      <c r="I301" s="65" t="s">
        <v>90</v>
      </c>
      <c r="J301" s="64" t="s">
        <v>160</v>
      </c>
      <c r="K301" s="30">
        <v>146100253</v>
      </c>
      <c r="L301" s="57"/>
    </row>
    <row r="302" spans="1:12" ht="24">
      <c r="A302" s="214"/>
      <c r="B302" s="197"/>
      <c r="C302" s="197"/>
      <c r="D302" s="197"/>
      <c r="E302" s="197"/>
      <c r="F302" s="197"/>
      <c r="G302" s="26" t="str">
        <f ca="1">IFERROR(__xludf.DUMMYFUNCTION("IF(I302="""","""",FILTER(DATOS!$D$4:$D$237,DATOS!$B$4:$B$237=I302))"),"08-626")</f>
        <v>08-626</v>
      </c>
      <c r="H302" s="27" t="str">
        <f ca="1">IFERROR(__xludf.DUMMYFUNCTION("IF(I302="""","""",FILTER(DATOS!$C$4:$C$237,DATOS!$B$4:$B$237=I302))"),"KENNEDY")</f>
        <v>KENNEDY</v>
      </c>
      <c r="I302" s="63" t="s">
        <v>161</v>
      </c>
      <c r="J302" s="64" t="s">
        <v>160</v>
      </c>
      <c r="K302" s="30">
        <v>246315030</v>
      </c>
      <c r="L302" s="57"/>
    </row>
    <row r="303" spans="1:12" ht="24">
      <c r="A303" s="214"/>
      <c r="B303" s="197"/>
      <c r="C303" s="197"/>
      <c r="D303" s="197"/>
      <c r="E303" s="197"/>
      <c r="F303" s="197"/>
      <c r="G303" s="26" t="str">
        <f ca="1">IFERROR(__xludf.DUMMYFUNCTION("IF(I303="""","""",FILTER(DATOS!$D$4:$D$237,DATOS!$B$4:$B$237=I303))"),"08-219")</f>
        <v>08-219</v>
      </c>
      <c r="H303" s="27" t="str">
        <f ca="1">IFERROR(__xludf.DUMMYFUNCTION("IF(I303="""","""",FILTER(DATOS!$C$4:$C$237,DATOS!$B$4:$B$237=I303))"),"KENNEDY")</f>
        <v>KENNEDY</v>
      </c>
      <c r="I303" s="63" t="s">
        <v>132</v>
      </c>
      <c r="J303" s="64" t="s">
        <v>160</v>
      </c>
      <c r="K303" s="30">
        <v>88223073</v>
      </c>
      <c r="L303" s="57"/>
    </row>
    <row r="304" spans="1:12" ht="24">
      <c r="A304" s="214"/>
      <c r="B304" s="197"/>
      <c r="C304" s="197"/>
      <c r="D304" s="197"/>
      <c r="E304" s="197"/>
      <c r="F304" s="197"/>
      <c r="G304" s="26" t="str">
        <f ca="1">IFERROR(__xludf.DUMMYFUNCTION("IF(I304="""","""",FILTER(DATOS!$D$4:$D$237,DATOS!$B$4:$B$237=I304))"),"08-034")</f>
        <v>08-034</v>
      </c>
      <c r="H304" s="27" t="str">
        <f ca="1">IFERROR(__xludf.DUMMYFUNCTION("IF(I304="""","""",FILTER(DATOS!$C$4:$C$237,DATOS!$B$4:$B$237=I304))"),"KENNEDY")</f>
        <v>KENNEDY</v>
      </c>
      <c r="I304" s="63" t="s">
        <v>118</v>
      </c>
      <c r="J304" s="64" t="s">
        <v>160</v>
      </c>
      <c r="K304" s="30">
        <v>83634525</v>
      </c>
      <c r="L304" s="57"/>
    </row>
    <row r="305" spans="1:12" ht="24">
      <c r="A305" s="214"/>
      <c r="B305" s="197"/>
      <c r="C305" s="197"/>
      <c r="D305" s="197"/>
      <c r="E305" s="197"/>
      <c r="F305" s="197"/>
      <c r="G305" s="26" t="str">
        <f ca="1">IFERROR(__xludf.DUMMYFUNCTION("IF(I305="""","""",FILTER(DATOS!$D$4:$D$237,DATOS!$B$4:$B$237=I305))"),"08-200")</f>
        <v>08-200</v>
      </c>
      <c r="H305" s="27" t="str">
        <f ca="1">IFERROR(__xludf.DUMMYFUNCTION("IF(I305="""","""",FILTER(DATOS!$C$4:$C$237,DATOS!$B$4:$B$237=I305))"),"KENNEDY")</f>
        <v>KENNEDY</v>
      </c>
      <c r="I305" s="63" t="s">
        <v>77</v>
      </c>
      <c r="J305" s="64" t="s">
        <v>160</v>
      </c>
      <c r="K305" s="30">
        <v>67054275</v>
      </c>
      <c r="L305" s="57"/>
    </row>
    <row r="306" spans="1:12" ht="24">
      <c r="A306" s="214"/>
      <c r="B306" s="197"/>
      <c r="C306" s="197"/>
      <c r="D306" s="197"/>
      <c r="E306" s="197"/>
      <c r="F306" s="197"/>
      <c r="G306" s="26" t="str">
        <f ca="1">IFERROR(__xludf.DUMMYFUNCTION("IF(I306="""","""",FILTER(DATOS!$D$4:$D$237,DATOS!$B$4:$B$237=I306))"),"08-241")</f>
        <v>08-241</v>
      </c>
      <c r="H306" s="27" t="str">
        <f ca="1">IFERROR(__xludf.DUMMYFUNCTION("IF(I306="""","""",FILTER(DATOS!$C$4:$C$237,DATOS!$B$4:$B$237=I306))"),"KENNEDY")</f>
        <v>KENNEDY</v>
      </c>
      <c r="I306" s="63" t="s">
        <v>78</v>
      </c>
      <c r="J306" s="64" t="s">
        <v>160</v>
      </c>
      <c r="K306" s="30">
        <v>241726483</v>
      </c>
      <c r="L306" s="57"/>
    </row>
    <row r="307" spans="1:12" ht="24">
      <c r="A307" s="214"/>
      <c r="B307" s="197"/>
      <c r="C307" s="197"/>
      <c r="D307" s="197"/>
      <c r="E307" s="197"/>
      <c r="F307" s="197"/>
      <c r="G307" s="26" t="str">
        <f ca="1">IFERROR(__xludf.DUMMYFUNCTION("IF(I307="""","""",FILTER(DATOS!$D$4:$D$237,DATOS!$B$4:$B$237=I307))"),"08-355")</f>
        <v>08-355</v>
      </c>
      <c r="H307" s="27" t="str">
        <f ca="1">IFERROR(__xludf.DUMMYFUNCTION("IF(I307="""","""",FILTER(DATOS!$C$4:$C$237,DATOS!$B$4:$B$237=I307))"),"KENNEDY")</f>
        <v>KENNEDY</v>
      </c>
      <c r="I307" s="65" t="s">
        <v>100</v>
      </c>
      <c r="J307" s="64" t="s">
        <v>160</v>
      </c>
      <c r="K307" s="30">
        <v>62465727</v>
      </c>
      <c r="L307" s="57"/>
    </row>
    <row r="308" spans="1:12" ht="24">
      <c r="A308" s="214"/>
      <c r="B308" s="197"/>
      <c r="C308" s="197"/>
      <c r="D308" s="197"/>
      <c r="E308" s="197"/>
      <c r="F308" s="197"/>
      <c r="G308" s="26" t="str">
        <f ca="1">IFERROR(__xludf.DUMMYFUNCTION("IF(I308="""","""",FILTER(DATOS!$D$4:$D$237,DATOS!$B$4:$B$237=I308))"),"08-552")</f>
        <v>08-552</v>
      </c>
      <c r="H308" s="27" t="str">
        <f ca="1">IFERROR(__xludf.DUMMYFUNCTION("IF(I308="""","""",FILTER(DATOS!$C$4:$C$237,DATOS!$B$4:$B$237=I308))"),"KENNEDY")</f>
        <v>KENNEDY</v>
      </c>
      <c r="I308" s="65" t="s">
        <v>97</v>
      </c>
      <c r="J308" s="64" t="s">
        <v>160</v>
      </c>
      <c r="K308" s="30">
        <v>202203493</v>
      </c>
      <c r="L308" s="57"/>
    </row>
    <row r="309" spans="1:12" ht="24">
      <c r="A309" s="214"/>
      <c r="B309" s="197"/>
      <c r="C309" s="197"/>
      <c r="D309" s="197"/>
      <c r="E309" s="197"/>
      <c r="F309" s="197"/>
      <c r="G309" s="26" t="str">
        <f ca="1">IFERROR(__xludf.DUMMYFUNCTION("IF(I309="""","""",FILTER(DATOS!$D$4:$D$237,DATOS!$B$4:$B$237=I309))"),"08-212")</f>
        <v>08-212</v>
      </c>
      <c r="H309" s="27" t="str">
        <f ca="1">IFERROR(__xludf.DUMMYFUNCTION("IF(I309="""","""",FILTER(DATOS!$C$4:$C$237,DATOS!$B$4:$B$237=I309))"),"KENNEDY")</f>
        <v>KENNEDY</v>
      </c>
      <c r="I309" s="65" t="s">
        <v>106</v>
      </c>
      <c r="J309" s="64" t="s">
        <v>160</v>
      </c>
      <c r="K309" s="30">
        <v>44111536</v>
      </c>
      <c r="L309" s="57"/>
    </row>
    <row r="310" spans="1:12" ht="24">
      <c r="A310" s="214"/>
      <c r="B310" s="197"/>
      <c r="C310" s="197"/>
      <c r="D310" s="197"/>
      <c r="E310" s="197"/>
      <c r="F310" s="197"/>
      <c r="G310" s="26" t="str">
        <f ca="1">IFERROR(__xludf.DUMMYFUNCTION("IF(I310="""","""",FILTER(DATOS!$D$4:$D$237,DATOS!$B$4:$B$237=I310))"),"08-144")</f>
        <v>08-144</v>
      </c>
      <c r="H310" s="27" t="str">
        <f ca="1">IFERROR(__xludf.DUMMYFUNCTION("IF(I310="""","""",FILTER(DATOS!$C$4:$C$237,DATOS!$B$4:$B$237=I310))"),"KENNEDY")</f>
        <v>KENNEDY</v>
      </c>
      <c r="I310" s="65" t="s">
        <v>81</v>
      </c>
      <c r="J310" s="64" t="s">
        <v>160</v>
      </c>
      <c r="K310" s="30">
        <v>44111536</v>
      </c>
      <c r="L310" s="57"/>
    </row>
    <row r="311" spans="1:12" ht="24">
      <c r="A311" s="214"/>
      <c r="B311" s="197"/>
      <c r="C311" s="197"/>
      <c r="D311" s="197"/>
      <c r="E311" s="197"/>
      <c r="F311" s="197"/>
      <c r="G311" s="26" t="str">
        <f ca="1">IFERROR(__xludf.DUMMYFUNCTION("IF(I311="""","""",FILTER(DATOS!$D$4:$D$237,DATOS!$B$4:$B$237=I311))"),"08-109")</f>
        <v>08-109</v>
      </c>
      <c r="H311" s="27" t="str">
        <f ca="1">IFERROR(__xludf.DUMMYFUNCTION("IF(I311="""","""",FILTER(DATOS!$C$4:$C$237,DATOS!$B$4:$B$237=I311))"),"KENNEDY")</f>
        <v>KENNEDY</v>
      </c>
      <c r="I311" s="65" t="s">
        <v>86</v>
      </c>
      <c r="J311" s="64" t="s">
        <v>160</v>
      </c>
      <c r="K311" s="30">
        <v>48700084</v>
      </c>
      <c r="L311" s="57"/>
    </row>
    <row r="312" spans="1:12" ht="24">
      <c r="A312" s="214"/>
      <c r="B312" s="197"/>
      <c r="C312" s="197"/>
      <c r="D312" s="197"/>
      <c r="E312" s="197"/>
      <c r="F312" s="197"/>
      <c r="G312" s="26" t="str">
        <f ca="1">IFERROR(__xludf.DUMMYFUNCTION("IF(I312="""","""",FILTER(DATOS!$D$4:$D$237,DATOS!$B$4:$B$237=I312))"),"07-152")</f>
        <v>07-152</v>
      </c>
      <c r="H312" s="27" t="str">
        <f ca="1">IFERROR(__xludf.DUMMYFUNCTION("IF(I312="""","""",FILTER(DATOS!$C$4:$C$237,DATOS!$B$4:$B$237=I312))"),"BOSA")</f>
        <v>BOSA</v>
      </c>
      <c r="I312" s="63" t="s">
        <v>92</v>
      </c>
      <c r="J312" s="64" t="s">
        <v>160</v>
      </c>
      <c r="K312" s="30">
        <v>83634563</v>
      </c>
      <c r="L312" s="57"/>
    </row>
    <row r="313" spans="1:12" ht="24">
      <c r="A313" s="214"/>
      <c r="B313" s="197"/>
      <c r="C313" s="197"/>
      <c r="D313" s="197"/>
      <c r="E313" s="197"/>
      <c r="F313" s="197"/>
      <c r="G313" s="26" t="str">
        <f ca="1">IFERROR(__xludf.DUMMYFUNCTION("IF(I313="""","""",FILTER(DATOS!$D$4:$D$237,DATOS!$B$4:$B$237=I313))"),"08-066")</f>
        <v>08-066</v>
      </c>
      <c r="H313" s="27" t="str">
        <f ca="1">IFERROR(__xludf.DUMMYFUNCTION("IF(I313="""","""",FILTER(DATOS!$C$4:$C$237,DATOS!$B$4:$B$237=I313))"),"KENNEDY")</f>
        <v>KENNEDY</v>
      </c>
      <c r="I313" s="63" t="s">
        <v>110</v>
      </c>
      <c r="J313" s="64" t="s">
        <v>160</v>
      </c>
      <c r="K313" s="30">
        <v>44111536</v>
      </c>
      <c r="L313" s="57"/>
    </row>
    <row r="314" spans="1:12" ht="24">
      <c r="A314" s="214"/>
      <c r="B314" s="197"/>
      <c r="C314" s="197"/>
      <c r="D314" s="197"/>
      <c r="E314" s="197"/>
      <c r="F314" s="197"/>
      <c r="G314" s="26" t="str">
        <f ca="1">IFERROR(__xludf.DUMMYFUNCTION("IF(I314="""","""",FILTER(DATOS!$D$4:$D$237,DATOS!$B$4:$B$237=I314))"),"08-791")</f>
        <v>08-791</v>
      </c>
      <c r="H314" s="27" t="str">
        <f ca="1">IFERROR(__xludf.DUMMYFUNCTION("IF(I314="""","""",FILTER(DATOS!$C$4:$C$237,DATOS!$B$4:$B$237=I314))"),"KENNEDY")</f>
        <v>KENNEDY</v>
      </c>
      <c r="I314" s="63" t="s">
        <v>125</v>
      </c>
      <c r="J314" s="64" t="s">
        <v>160</v>
      </c>
      <c r="K314" s="30">
        <v>57877180</v>
      </c>
      <c r="L314" s="57"/>
    </row>
    <row r="315" spans="1:12" ht="24">
      <c r="A315" s="214"/>
      <c r="B315" s="197"/>
      <c r="C315" s="197"/>
      <c r="D315" s="197"/>
      <c r="E315" s="197"/>
      <c r="F315" s="197"/>
      <c r="G315" s="26" t="str">
        <f ca="1">IFERROR(__xludf.DUMMYFUNCTION("IF(I315="""","""",FILTER(DATOS!$D$4:$D$237,DATOS!$B$4:$B$237=I315))"),"09-111")</f>
        <v>09-111</v>
      </c>
      <c r="H315" s="27" t="str">
        <f ca="1">IFERROR(__xludf.DUMMYFUNCTION("IF(I315="""","""",FILTER(DATOS!$C$4:$C$237,DATOS!$B$4:$B$237=I315))"),"FONTIBON")</f>
        <v>FONTIBON</v>
      </c>
      <c r="I315" s="63" t="s">
        <v>57</v>
      </c>
      <c r="J315" s="64" t="s">
        <v>160</v>
      </c>
      <c r="K315" s="30">
        <v>167269051</v>
      </c>
      <c r="L315" s="57"/>
    </row>
    <row r="316" spans="1:12" ht="24">
      <c r="A316" s="214"/>
      <c r="B316" s="197"/>
      <c r="C316" s="197"/>
      <c r="D316" s="197"/>
      <c r="E316" s="197"/>
      <c r="F316" s="197"/>
      <c r="G316" s="26" t="str">
        <f ca="1">IFERROR(__xludf.DUMMYFUNCTION("IF(I316="""","""",FILTER(DATOS!$D$4:$D$237,DATOS!$B$4:$B$237=I316))"),"09-125")</f>
        <v>09-125</v>
      </c>
      <c r="H316" s="27" t="str">
        <f ca="1">IFERROR(__xludf.DUMMYFUNCTION("IF(I316="""","""",FILTER(DATOS!$C$4:$C$237,DATOS!$B$4:$B$237=I316))"),"FONTIBON")</f>
        <v>FONTIBON</v>
      </c>
      <c r="I316" s="63" t="s">
        <v>67</v>
      </c>
      <c r="J316" s="64" t="s">
        <v>160</v>
      </c>
      <c r="K316" s="30">
        <v>88223073</v>
      </c>
      <c r="L316" s="57"/>
    </row>
    <row r="317" spans="1:12" ht="24">
      <c r="A317" s="214"/>
      <c r="B317" s="197"/>
      <c r="C317" s="197"/>
      <c r="D317" s="197"/>
      <c r="E317" s="197"/>
      <c r="F317" s="197"/>
      <c r="G317" s="26" t="str">
        <f ca="1">IFERROR(__xludf.DUMMYFUNCTION("IF(I317="""","""",FILTER(DATOS!$D$4:$D$237,DATOS!$B$4:$B$237=I317))"),"09-104")</f>
        <v>09-104</v>
      </c>
      <c r="H317" s="27" t="str">
        <f ca="1">IFERROR(__xludf.DUMMYFUNCTION("IF(I317="""","""",FILTER(DATOS!$C$4:$C$237,DATOS!$B$4:$B$237=I317))"),"FONTIBON")</f>
        <v>FONTIBON</v>
      </c>
      <c r="I317" s="63" t="s">
        <v>21</v>
      </c>
      <c r="J317" s="64" t="s">
        <v>160</v>
      </c>
      <c r="K317" s="30">
        <v>88223073</v>
      </c>
      <c r="L317" s="57"/>
    </row>
    <row r="318" spans="1:12" ht="24">
      <c r="A318" s="214"/>
      <c r="B318" s="197"/>
      <c r="C318" s="197"/>
      <c r="D318" s="197"/>
      <c r="E318" s="197"/>
      <c r="F318" s="197"/>
      <c r="G318" s="26" t="str">
        <f ca="1">IFERROR(__xludf.DUMMYFUNCTION("IF(I318="""","""",FILTER(DATOS!$D$4:$D$237,DATOS!$B$4:$B$237=I318))"),"15-036")</f>
        <v>15-036</v>
      </c>
      <c r="H318" s="27" t="str">
        <f ca="1">IFERROR(__xludf.DUMMYFUNCTION("IF(I318="""","""",FILTER(DATOS!$C$4:$C$237,DATOS!$B$4:$B$237=I318))"),"ANTONIO NARIÑO")</f>
        <v>ANTONIO NARIÑO</v>
      </c>
      <c r="I318" s="63" t="s">
        <v>137</v>
      </c>
      <c r="J318" s="64" t="s">
        <v>160</v>
      </c>
      <c r="K318" s="30">
        <v>88223073</v>
      </c>
      <c r="L318" s="57"/>
    </row>
    <row r="319" spans="1:12" ht="24">
      <c r="A319" s="214"/>
      <c r="B319" s="197"/>
      <c r="C319" s="197"/>
      <c r="D319" s="197"/>
      <c r="E319" s="197"/>
      <c r="F319" s="197"/>
      <c r="G319" s="26" t="str">
        <f ca="1">IFERROR(__xludf.DUMMYFUNCTION("IF(I319="""","""",FILTER(DATOS!$D$4:$D$237,DATOS!$B$4:$B$237=I319))"),"15-040")</f>
        <v>15-040</v>
      </c>
      <c r="H319" s="27" t="str">
        <f ca="1">IFERROR(__xludf.DUMMYFUNCTION("IF(I319="""","""",FILTER(DATOS!$C$4:$C$237,DATOS!$B$4:$B$237=I319))"),"ANTONIO NARIÑO")</f>
        <v>ANTONIO NARIÑO</v>
      </c>
      <c r="I319" s="63" t="s">
        <v>105</v>
      </c>
      <c r="J319" s="64" t="s">
        <v>160</v>
      </c>
      <c r="K319" s="30">
        <v>83634525</v>
      </c>
      <c r="L319" s="57"/>
    </row>
    <row r="320" spans="1:12" ht="24" customHeight="1">
      <c r="A320" s="214"/>
      <c r="B320" s="197"/>
      <c r="C320" s="197"/>
      <c r="D320" s="197"/>
      <c r="E320" s="197"/>
      <c r="F320" s="197"/>
      <c r="G320" s="26" t="str">
        <f ca="1">IFERROR(__xludf.DUMMYFUNCTION("IF(I320="""","""",FILTER(DATOS!$D$4:$D$237,DATOS!$B$4:$B$237=I320))"),"14-036")</f>
        <v>14-036</v>
      </c>
      <c r="H320" s="27" t="str">
        <f ca="1">IFERROR(__xludf.DUMMYFUNCTION("IF(I320="""","""",FILTER(DATOS!$C$4:$C$237,DATOS!$B$4:$B$237=I320))"),"MARTIRES")</f>
        <v>MARTIRES</v>
      </c>
      <c r="I320" s="63" t="s">
        <v>55</v>
      </c>
      <c r="J320" s="64" t="s">
        <v>160</v>
      </c>
      <c r="K320" s="30">
        <v>44111536</v>
      </c>
      <c r="L320" s="57"/>
    </row>
    <row r="321" spans="1:12" ht="24">
      <c r="A321" s="214"/>
      <c r="B321" s="197"/>
      <c r="C321" s="197"/>
      <c r="D321" s="197"/>
      <c r="E321" s="197"/>
      <c r="F321" s="197"/>
      <c r="G321" s="26" t="str">
        <f ca="1">IFERROR(__xludf.DUMMYFUNCTION("IF(I321="""","""",FILTER(DATOS!$D$4:$D$237,DATOS!$B$4:$B$237=I321))"),"14-009")</f>
        <v>14-009</v>
      </c>
      <c r="H321" s="27" t="str">
        <f ca="1">IFERROR(__xludf.DUMMYFUNCTION("IF(I321="""","""",FILTER(DATOS!$C$4:$C$237,DATOS!$B$4:$B$237=I321))"),"MARTIRES")</f>
        <v>MARTIRES</v>
      </c>
      <c r="I321" s="63" t="s">
        <v>150</v>
      </c>
      <c r="J321" s="64" t="s">
        <v>160</v>
      </c>
      <c r="K321" s="30">
        <v>44111536</v>
      </c>
      <c r="L321" s="57"/>
    </row>
    <row r="322" spans="1:12" ht="24">
      <c r="A322" s="214"/>
      <c r="B322" s="197"/>
      <c r="C322" s="197"/>
      <c r="D322" s="197"/>
      <c r="E322" s="197"/>
      <c r="F322" s="197"/>
      <c r="G322" s="26" t="str">
        <f ca="1">IFERROR(__xludf.DUMMYFUNCTION("IF(I322="""","""",FILTER(DATOS!$D$4:$D$237,DATOS!$B$4:$B$237=I322))"),"14-030")</f>
        <v>14-030</v>
      </c>
      <c r="H322" s="27" t="str">
        <f ca="1">IFERROR(__xludf.DUMMYFUNCTION("IF(I322="""","""",FILTER(DATOS!$C$4:$C$237,DATOS!$B$4:$B$237=I322))"),"MARTIRES")</f>
        <v>MARTIRES</v>
      </c>
      <c r="I322" s="65" t="s">
        <v>82</v>
      </c>
      <c r="J322" s="64" t="s">
        <v>160</v>
      </c>
      <c r="K322" s="30">
        <v>67054328</v>
      </c>
      <c r="L322" s="57"/>
    </row>
    <row r="323" spans="1:12" ht="24">
      <c r="A323" s="214"/>
      <c r="B323" s="197"/>
      <c r="C323" s="197"/>
      <c r="D323" s="197"/>
      <c r="E323" s="197"/>
      <c r="F323" s="197"/>
      <c r="G323" s="26" t="str">
        <f ca="1">IFERROR(__xludf.DUMMYFUNCTION("IF(I323="""","""",FILTER(DATOS!$D$4:$D$237,DATOS!$B$4:$B$237=I323))"),"03-085")</f>
        <v>03-085</v>
      </c>
      <c r="H323" s="27" t="str">
        <f ca="1">IFERROR(__xludf.DUMMYFUNCTION("IF(I323="""","""",FILTER(DATOS!$C$4:$C$237,DATOS!$B$4:$B$237=I323))"),"SANTAFE")</f>
        <v>SANTAFE</v>
      </c>
      <c r="I323" s="63" t="s">
        <v>129</v>
      </c>
      <c r="J323" s="64" t="s">
        <v>160</v>
      </c>
      <c r="K323" s="30">
        <v>241726482</v>
      </c>
      <c r="L323" s="57"/>
    </row>
    <row r="324" spans="1:12" ht="24">
      <c r="A324" s="214"/>
      <c r="B324" s="197"/>
      <c r="C324" s="197"/>
      <c r="D324" s="197"/>
      <c r="E324" s="197"/>
      <c r="F324" s="197"/>
      <c r="G324" s="26" t="str">
        <f ca="1">IFERROR(__xludf.DUMMYFUNCTION("IF(I324="""","""",FILTER(DATOS!$D$4:$D$237,DATOS!$B$4:$B$237=I324))"),"03-014")</f>
        <v>03-014</v>
      </c>
      <c r="H324" s="27" t="str">
        <f ca="1">IFERROR(__xludf.DUMMYFUNCTION("IF(I324="""","""",FILTER(DATOS!$C$4:$C$237,DATOS!$B$4:$B$237=I324))"),"SANTAFE")</f>
        <v>SANTAFE</v>
      </c>
      <c r="I324" s="65" t="s">
        <v>153</v>
      </c>
      <c r="J324" s="64" t="s">
        <v>160</v>
      </c>
      <c r="K324" s="30">
        <v>44111536</v>
      </c>
      <c r="L324" s="57"/>
    </row>
    <row r="325" spans="1:12" ht="24">
      <c r="A325" s="214"/>
      <c r="B325" s="197"/>
      <c r="C325" s="197"/>
      <c r="D325" s="197"/>
      <c r="E325" s="197"/>
      <c r="F325" s="197"/>
      <c r="G325" s="26" t="str">
        <f ca="1">IFERROR(__xludf.DUMMYFUNCTION("IF(I325="""","""",FILTER(DATOS!$D$4:$D$237,DATOS!$B$4:$B$237=I325))"),"16-024")</f>
        <v>16-024</v>
      </c>
      <c r="H325" s="27" t="str">
        <f ca="1">IFERROR(__xludf.DUMMYFUNCTION("IF(I325="""","""",FILTER(DATOS!$C$4:$C$237,DATOS!$B$4:$B$237=I325))"),"PUENTE ARANDA")</f>
        <v>PUENTE ARANDA</v>
      </c>
      <c r="I325" s="63" t="s">
        <v>91</v>
      </c>
      <c r="J325" s="64" t="s">
        <v>160</v>
      </c>
      <c r="K325" s="30">
        <v>57877180</v>
      </c>
      <c r="L325" s="57"/>
    </row>
    <row r="326" spans="1:12" ht="24">
      <c r="A326" s="214"/>
      <c r="B326" s="197"/>
      <c r="C326" s="197"/>
      <c r="D326" s="197"/>
      <c r="E326" s="197"/>
      <c r="F326" s="197"/>
      <c r="G326" s="26" t="str">
        <f ca="1">IFERROR(__xludf.DUMMYFUNCTION("IF(I326="""","""",FILTER(DATOS!$D$4:$D$237,DATOS!$B$4:$B$237=I326))"),"16-112")</f>
        <v>16-112</v>
      </c>
      <c r="H326" s="27" t="str">
        <f ca="1">IFERROR(__xludf.DUMMYFUNCTION("IF(I326="""","""",FILTER(DATOS!$C$4:$C$237,DATOS!$B$4:$B$237=I326))"),"PUENTE ARANDA")</f>
        <v>PUENTE ARANDA</v>
      </c>
      <c r="I326" s="63" t="s">
        <v>79</v>
      </c>
      <c r="J326" s="64" t="s">
        <v>160</v>
      </c>
      <c r="K326" s="30">
        <v>167269051</v>
      </c>
      <c r="L326" s="57"/>
    </row>
    <row r="327" spans="1:12" ht="24">
      <c r="A327" s="214"/>
      <c r="B327" s="197"/>
      <c r="C327" s="197"/>
      <c r="D327" s="197"/>
      <c r="E327" s="197"/>
      <c r="F327" s="197"/>
      <c r="G327" s="26" t="str">
        <f ca="1">IFERROR(__xludf.DUMMYFUNCTION("IF(I327="""","""",FILTER(DATOS!$D$4:$D$237,DATOS!$B$4:$B$237=I327))"),"16-204")</f>
        <v>16-204</v>
      </c>
      <c r="H327" s="27" t="str">
        <f ca="1">IFERROR(__xludf.DUMMYFUNCTION("IF(I327="""","""",FILTER(DATOS!$C$4:$C$237,DATOS!$B$4:$B$237=I327))"),"PUENTE ARANDA")</f>
        <v>PUENTE ARANDA</v>
      </c>
      <c r="I327" s="63" t="s">
        <v>83</v>
      </c>
      <c r="J327" s="64" t="s">
        <v>160</v>
      </c>
      <c r="K327" s="30">
        <v>92811621</v>
      </c>
      <c r="L327" s="57"/>
    </row>
    <row r="328" spans="1:12" ht="24">
      <c r="A328" s="214"/>
      <c r="B328" s="197"/>
      <c r="C328" s="197"/>
      <c r="D328" s="197"/>
      <c r="E328" s="197"/>
      <c r="F328" s="197"/>
      <c r="G328" s="26" t="str">
        <f ca="1">IFERROR(__xludf.DUMMYFUNCTION("IF(I328="""","""",FILTER(DATOS!$D$4:$D$237,DATOS!$B$4:$B$237=I328))"),"16-221")</f>
        <v>16-221</v>
      </c>
      <c r="H328" s="27" t="str">
        <f ca="1">IFERROR(__xludf.DUMMYFUNCTION("IF(I328="""","""",FILTER(DATOS!$C$4:$C$237,DATOS!$B$4:$B$237=I328))"),"PUENTE ARANDA")</f>
        <v>PUENTE ARANDA</v>
      </c>
      <c r="I328" s="63" t="s">
        <v>142</v>
      </c>
      <c r="J328" s="64" t="s">
        <v>160</v>
      </c>
      <c r="K328" s="30">
        <v>123157514</v>
      </c>
      <c r="L328" s="57"/>
    </row>
    <row r="329" spans="1:12" ht="24">
      <c r="A329" s="214"/>
      <c r="B329" s="197"/>
      <c r="C329" s="197"/>
      <c r="D329" s="197"/>
      <c r="E329" s="197"/>
      <c r="F329" s="197"/>
      <c r="G329" s="26" t="str">
        <f ca="1">IFERROR(__xludf.DUMMYFUNCTION("IF(I329="""","""",FILTER(DATOS!$D$4:$D$237,DATOS!$B$4:$B$237=I329))"),"16-416")</f>
        <v>16-416</v>
      </c>
      <c r="H329" s="27" t="str">
        <f ca="1">IFERROR(__xludf.DUMMYFUNCTION("IF(I329="""","""",FILTER(DATOS!$C$4:$C$237,DATOS!$B$4:$B$237=I329))"),"PUENTE ARANDA")</f>
        <v>PUENTE ARANDA</v>
      </c>
      <c r="I329" s="65" t="s">
        <v>49</v>
      </c>
      <c r="J329" s="64" t="s">
        <v>160</v>
      </c>
      <c r="K329" s="30">
        <v>44111536</v>
      </c>
      <c r="L329" s="57"/>
    </row>
    <row r="330" spans="1:12" ht="24">
      <c r="A330" s="214"/>
      <c r="B330" s="197"/>
      <c r="C330" s="197"/>
      <c r="D330" s="197"/>
      <c r="E330" s="197"/>
      <c r="F330" s="197"/>
      <c r="G330" s="26" t="str">
        <f ca="1">IFERROR(__xludf.DUMMYFUNCTION("IF(I330="""","""",FILTER(DATOS!$D$4:$D$237,DATOS!$B$4:$B$237=I330))"),"16-099")</f>
        <v>16-099</v>
      </c>
      <c r="H330" s="27" t="str">
        <f ca="1">IFERROR(__xludf.DUMMYFUNCTION("IF(I330="""","""",FILTER(DATOS!$C$4:$C$237,DATOS!$B$4:$B$237=I330))"),"PUENTE ARANDA")</f>
        <v>PUENTE ARANDA</v>
      </c>
      <c r="I330" s="65" t="s">
        <v>112</v>
      </c>
      <c r="J330" s="64" t="s">
        <v>160</v>
      </c>
      <c r="K330" s="30">
        <v>44111536</v>
      </c>
      <c r="L330" s="57"/>
    </row>
    <row r="331" spans="1:12" ht="24">
      <c r="A331" s="214"/>
      <c r="B331" s="197"/>
      <c r="C331" s="197"/>
      <c r="D331" s="197"/>
      <c r="E331" s="197"/>
      <c r="F331" s="197"/>
      <c r="G331" s="26" t="str">
        <f ca="1">IFERROR(__xludf.DUMMYFUNCTION("IF(I331="""","""",FILTER(DATOS!$D$4:$D$237,DATOS!$B$4:$B$237=I331))"),"03-085")</f>
        <v>03-085</v>
      </c>
      <c r="H331" s="27" t="str">
        <f ca="1">IFERROR(__xludf.DUMMYFUNCTION("IF(I331="""","""",FILTER(DATOS!$C$4:$C$237,DATOS!$B$4:$B$237=I331))"),"SANTAFE")</f>
        <v>SANTAFE</v>
      </c>
      <c r="I331" s="65" t="s">
        <v>129</v>
      </c>
      <c r="J331" s="64" t="s">
        <v>160</v>
      </c>
      <c r="K331" s="30">
        <v>44111536</v>
      </c>
      <c r="L331" s="57"/>
    </row>
    <row r="332" spans="1:12" ht="24">
      <c r="A332" s="214"/>
      <c r="B332" s="197"/>
      <c r="C332" s="197"/>
      <c r="D332" s="197"/>
      <c r="E332" s="197"/>
      <c r="F332" s="197"/>
      <c r="G332" s="26" t="str">
        <f ca="1">IFERROR(__xludf.DUMMYFUNCTION("IF(I332="""","""",FILTER(DATOS!$D$4:$D$237,DATOS!$B$4:$B$237=I332))"),"04-075")</f>
        <v>04-075</v>
      </c>
      <c r="H332" s="27" t="str">
        <f ca="1">IFERROR(__xludf.DUMMYFUNCTION("IF(I332="""","""",FILTER(DATOS!$C$4:$C$237,DATOS!$B$4:$B$237=I332))"),"SAN CRISTOBAL")</f>
        <v>SAN CRISTOBAL</v>
      </c>
      <c r="I332" s="63" t="s">
        <v>136</v>
      </c>
      <c r="J332" s="64" t="s">
        <v>160</v>
      </c>
      <c r="K332" s="30">
        <v>48700084</v>
      </c>
      <c r="L332" s="57"/>
    </row>
    <row r="333" spans="1:12" ht="24">
      <c r="A333" s="214"/>
      <c r="B333" s="197"/>
      <c r="C333" s="197"/>
      <c r="D333" s="197"/>
      <c r="E333" s="197"/>
      <c r="F333" s="197"/>
      <c r="G333" s="26" t="str">
        <f ca="1">IFERROR(__xludf.DUMMYFUNCTION("IF(I333="""","""",FILTER(DATOS!$D$4:$D$237,DATOS!$B$4:$B$237=I333))"),"04-103")</f>
        <v>04-103</v>
      </c>
      <c r="H333" s="27" t="str">
        <f ca="1">IFERROR(__xludf.DUMMYFUNCTION("IF(I333="""","""",FILTER(DATOS!$C$4:$C$237,DATOS!$B$4:$B$237=I333))"),"SAN CRISTOBAL")</f>
        <v>SAN CRISTOBAL</v>
      </c>
      <c r="I333" s="63" t="s">
        <v>95</v>
      </c>
      <c r="J333" s="64" t="s">
        <v>160</v>
      </c>
      <c r="K333" s="30">
        <v>101988717</v>
      </c>
      <c r="L333" s="57"/>
    </row>
    <row r="334" spans="1:12" ht="24">
      <c r="A334" s="214"/>
      <c r="B334" s="197"/>
      <c r="C334" s="197"/>
      <c r="D334" s="197"/>
      <c r="E334" s="197"/>
      <c r="F334" s="197"/>
      <c r="G334" s="26" t="str">
        <f ca="1">IFERROR(__xludf.DUMMYFUNCTION("IF(I334="""","""",FILTER(DATOS!$D$4:$D$237,DATOS!$B$4:$B$237=I334))"),"04-127")</f>
        <v>04-127</v>
      </c>
      <c r="H334" s="27" t="str">
        <f ca="1">IFERROR(__xludf.DUMMYFUNCTION("IF(I334="""","""",FILTER(DATOS!$C$4:$C$237,DATOS!$B$4:$B$237=I334))"),"SAN CRISTOBAL")</f>
        <v>SAN CRISTOBAL</v>
      </c>
      <c r="I334" s="63" t="s">
        <v>123</v>
      </c>
      <c r="J334" s="64" t="s">
        <v>160</v>
      </c>
      <c r="K334" s="30">
        <v>211380589</v>
      </c>
      <c r="L334" s="57"/>
    </row>
    <row r="335" spans="1:12" ht="24">
      <c r="A335" s="214"/>
      <c r="B335" s="197"/>
      <c r="C335" s="197"/>
      <c r="D335" s="197"/>
      <c r="E335" s="197"/>
      <c r="F335" s="197"/>
      <c r="G335" s="26" t="str">
        <f ca="1">IFERROR(__xludf.DUMMYFUNCTION("IF(I335="""","""",FILTER(DATOS!$D$4:$D$237,DATOS!$B$4:$B$237=I335))"),"04-196")</f>
        <v>04-196</v>
      </c>
      <c r="H335" s="27" t="str">
        <f ca="1">IFERROR(__xludf.DUMMYFUNCTION("IF(I335="""","""",FILTER(DATOS!$C$4:$C$237,DATOS!$B$4:$B$237=I335))"),"SAN CRISTOBAL")</f>
        <v>SAN CRISTOBAL</v>
      </c>
      <c r="I335" s="65" t="s">
        <v>134</v>
      </c>
      <c r="J335" s="64" t="s">
        <v>160</v>
      </c>
      <c r="K335" s="30">
        <v>127746062</v>
      </c>
      <c r="L335" s="57"/>
    </row>
    <row r="336" spans="1:12" ht="24">
      <c r="A336" s="214"/>
      <c r="B336" s="197"/>
      <c r="C336" s="197"/>
      <c r="D336" s="197"/>
      <c r="E336" s="197"/>
      <c r="F336" s="197"/>
      <c r="G336" s="26" t="str">
        <f ca="1">IFERROR(__xludf.DUMMYFUNCTION("IF(I336="""","""",FILTER(DATOS!$D$4:$D$237,DATOS!$B$4:$B$237=I336))"),"04-122")</f>
        <v>04-122</v>
      </c>
      <c r="H336" s="27" t="str">
        <f ca="1">IFERROR(__xludf.DUMMYFUNCTION("IF(I336="""","""",FILTER(DATOS!$C$4:$C$237,DATOS!$B$4:$B$237=I336))"),"SAN CRISTOBAL")</f>
        <v>SAN CRISTOBAL</v>
      </c>
      <c r="I336" s="65" t="s">
        <v>108</v>
      </c>
      <c r="J336" s="64" t="s">
        <v>160</v>
      </c>
      <c r="K336" s="30">
        <v>134108551</v>
      </c>
      <c r="L336" s="57"/>
    </row>
    <row r="337" spans="1:12" ht="24">
      <c r="A337" s="214"/>
      <c r="B337" s="197"/>
      <c r="C337" s="197"/>
      <c r="D337" s="197"/>
      <c r="E337" s="197"/>
      <c r="F337" s="197"/>
      <c r="G337" s="26" t="str">
        <f ca="1">IFERROR(__xludf.DUMMYFUNCTION("IF(I337="""","""",FILTER(DATOS!$D$4:$D$237,DATOS!$B$4:$B$237=I337))"),"04-127")</f>
        <v>04-127</v>
      </c>
      <c r="H337" s="27" t="str">
        <f ca="1">IFERROR(__xludf.DUMMYFUNCTION("IF(I337="""","""",FILTER(DATOS!$C$4:$C$237,DATOS!$B$4:$B$237=I337))"),"SAN CRISTOBAL")</f>
        <v>SAN CRISTOBAL</v>
      </c>
      <c r="I337" s="65" t="s">
        <v>124</v>
      </c>
      <c r="J337" s="64" t="s">
        <v>160</v>
      </c>
      <c r="K337" s="30">
        <v>515033102</v>
      </c>
      <c r="L337" s="57"/>
    </row>
    <row r="338" spans="1:12" ht="24">
      <c r="A338" s="214"/>
      <c r="B338" s="197"/>
      <c r="C338" s="197"/>
      <c r="D338" s="197"/>
      <c r="E338" s="197"/>
      <c r="F338" s="197"/>
      <c r="G338" s="26" t="str">
        <f ca="1">IFERROR(__xludf.DUMMYFUNCTION("IF(I338="""","""",FILTER(DATOS!$D$4:$D$237,DATOS!$B$4:$B$237=I338))"),"03-035")</f>
        <v>03-035</v>
      </c>
      <c r="H338" s="27" t="str">
        <f ca="1">IFERROR(__xludf.DUMMYFUNCTION("IF(I338="""","""",FILTER(DATOS!$C$4:$C$237,DATOS!$B$4:$B$237=I338))"),"SANTAFE")</f>
        <v>SANTAFE</v>
      </c>
      <c r="I338" s="63" t="s">
        <v>46</v>
      </c>
      <c r="J338" s="64" t="s">
        <v>160</v>
      </c>
      <c r="K338" s="30">
        <v>399818440</v>
      </c>
      <c r="L338" s="57"/>
    </row>
    <row r="339" spans="1:12" ht="24">
      <c r="A339" s="214"/>
      <c r="B339" s="197"/>
      <c r="C339" s="197"/>
      <c r="D339" s="197"/>
      <c r="E339" s="197"/>
      <c r="F339" s="197"/>
      <c r="G339" s="26" t="str">
        <f ca="1">IFERROR(__xludf.DUMMYFUNCTION("IF(I339="""","""",FILTER(DATOS!$D$4:$D$237,DATOS!$B$4:$B$237=I339))"),"03-036")</f>
        <v>03-036</v>
      </c>
      <c r="H339" s="27" t="str">
        <f ca="1">IFERROR(__xludf.DUMMYFUNCTION("IF(I339="""","""",FILTER(DATOS!$C$4:$C$237,DATOS!$B$4:$B$237=I339))"),"SANTAFE")</f>
        <v>SANTAFE</v>
      </c>
      <c r="I339" s="65" t="s">
        <v>109</v>
      </c>
      <c r="J339" s="64" t="s">
        <v>160</v>
      </c>
      <c r="K339" s="30">
        <v>48700084</v>
      </c>
      <c r="L339" s="57"/>
    </row>
    <row r="340" spans="1:12" ht="24">
      <c r="A340" s="214"/>
      <c r="B340" s="197"/>
      <c r="C340" s="197"/>
      <c r="D340" s="197"/>
      <c r="E340" s="197"/>
      <c r="F340" s="197"/>
      <c r="G340" s="26" t="str">
        <f ca="1">IFERROR(__xludf.DUMMYFUNCTION("IF(I340="""","""",FILTER(DATOS!$D$4:$D$237,DATOS!$B$4:$B$237=I340))"),"03-039")</f>
        <v>03-039</v>
      </c>
      <c r="H340" s="27" t="str">
        <f ca="1">IFERROR(__xludf.DUMMYFUNCTION("IF(I340="""","""",FILTER(DATOS!$C$4:$C$237,DATOS!$B$4:$B$237=I340))"),"SANTAFE")</f>
        <v>SANTAFE</v>
      </c>
      <c r="I340" s="63" t="s">
        <v>40</v>
      </c>
      <c r="J340" s="64" t="s">
        <v>160</v>
      </c>
      <c r="K340" s="30">
        <v>88223073</v>
      </c>
      <c r="L340" s="57"/>
    </row>
    <row r="341" spans="1:12" ht="24">
      <c r="A341" s="214"/>
      <c r="B341" s="197"/>
      <c r="C341" s="197"/>
      <c r="D341" s="197"/>
      <c r="E341" s="197"/>
      <c r="F341" s="197"/>
      <c r="G341" s="26" t="str">
        <f ca="1">IFERROR(__xludf.DUMMYFUNCTION("IF(I341="""","""",FILTER(DATOS!$D$4:$D$237,DATOS!$B$4:$B$237=I341))"),"03-093")</f>
        <v>03-093</v>
      </c>
      <c r="H341" s="27" t="str">
        <f ca="1">IFERROR(__xludf.DUMMYFUNCTION("IF(I341="""","""",FILTER(DATOS!$C$4:$C$237,DATOS!$B$4:$B$237=I341))"),"SANTAFE")</f>
        <v>SANTAFE</v>
      </c>
      <c r="I341" s="65" t="s">
        <v>51</v>
      </c>
      <c r="J341" s="64" t="s">
        <v>160</v>
      </c>
      <c r="K341" s="30">
        <v>92811621</v>
      </c>
      <c r="L341" s="57"/>
    </row>
    <row r="342" spans="1:12" ht="24">
      <c r="A342" s="214"/>
      <c r="B342" s="197"/>
      <c r="C342" s="197"/>
      <c r="D342" s="197"/>
      <c r="E342" s="197"/>
      <c r="F342" s="197"/>
      <c r="G342" s="26" t="str">
        <f ca="1">IFERROR(__xludf.DUMMYFUNCTION("IF(I342="""","""",FILTER(DATOS!$D$4:$D$237,DATOS!$B$4:$B$237=I342))"),"19-346")</f>
        <v>19-346</v>
      </c>
      <c r="H342" s="27" t="str">
        <f ca="1">IFERROR(__xludf.DUMMYFUNCTION("IF(I342="""","""",FILTER(DATOS!$C$4:$C$237,DATOS!$B$4:$B$237=I342))"),"CIUDAD BOLIVAR")</f>
        <v>CIUDAD BOLIVAR</v>
      </c>
      <c r="I342" s="65" t="s">
        <v>99</v>
      </c>
      <c r="J342" s="64" t="s">
        <v>160</v>
      </c>
      <c r="K342" s="30">
        <v>127746062</v>
      </c>
      <c r="L342" s="57"/>
    </row>
    <row r="343" spans="1:12" ht="24">
      <c r="A343" s="214"/>
      <c r="B343" s="197"/>
      <c r="C343" s="197"/>
      <c r="D343" s="197"/>
      <c r="E343" s="197"/>
      <c r="F343" s="197"/>
      <c r="G343" s="26" t="str">
        <f ca="1">IFERROR(__xludf.DUMMYFUNCTION("IF(I343="""","""",FILTER(DATOS!$D$4:$D$237,DATOS!$B$4:$B$237=I343))"),"19-188")</f>
        <v>19-188</v>
      </c>
      <c r="H343" s="27" t="str">
        <f ca="1">IFERROR(__xludf.DUMMYFUNCTION("IF(I343="""","""",FILTER(DATOS!$C$4:$C$237,DATOS!$B$4:$B$237=I343))"),"CIUDAD BOLIVAR")</f>
        <v>CIUDAD BOLIVAR</v>
      </c>
      <c r="I343" s="63" t="s">
        <v>72</v>
      </c>
      <c r="J343" s="64" t="s">
        <v>160</v>
      </c>
      <c r="K343" s="30">
        <v>88223073</v>
      </c>
      <c r="L343" s="57"/>
    </row>
    <row r="344" spans="1:12" ht="24">
      <c r="A344" s="214"/>
      <c r="B344" s="197"/>
      <c r="C344" s="197"/>
      <c r="D344" s="197"/>
      <c r="E344" s="197"/>
      <c r="F344" s="197"/>
      <c r="G344" s="26" t="str">
        <f ca="1">IFERROR(__xludf.DUMMYFUNCTION("IF(I344="""","""",FILTER(DATOS!$D$4:$D$237,DATOS!$B$4:$B$237=I344))"),"19-189")</f>
        <v>19-189</v>
      </c>
      <c r="H344" s="27" t="str">
        <f ca="1">IFERROR(__xludf.DUMMYFUNCTION("IF(I344="""","""",FILTER(DATOS!$C$4:$C$237,DATOS!$B$4:$B$237=I344))"),"CIUDAD BOLIVAR")</f>
        <v>CIUDAD BOLIVAR</v>
      </c>
      <c r="I344" s="65" t="s">
        <v>76</v>
      </c>
      <c r="J344" s="64" t="s">
        <v>160</v>
      </c>
      <c r="K344" s="30">
        <v>88223073</v>
      </c>
      <c r="L344" s="57"/>
    </row>
    <row r="345" spans="1:12" ht="24">
      <c r="A345" s="214"/>
      <c r="B345" s="197"/>
      <c r="C345" s="197"/>
      <c r="D345" s="197"/>
      <c r="E345" s="197"/>
      <c r="F345" s="197"/>
      <c r="G345" s="26" t="str">
        <f ca="1">IFERROR(__xludf.DUMMYFUNCTION("IF(I345="""","""",FILTER(DATOS!$D$4:$D$237,DATOS!$B$4:$B$237=I345))"),"19-230")</f>
        <v>19-230</v>
      </c>
      <c r="H345" s="27" t="str">
        <f ca="1">IFERROR(__xludf.DUMMYFUNCTION("IF(I345="""","""",FILTER(DATOS!$C$4:$C$237,DATOS!$B$4:$B$237=I345))"),"CIUDAD BOLIVAR")</f>
        <v>CIUDAD BOLIVAR</v>
      </c>
      <c r="I345" s="66" t="s">
        <v>111</v>
      </c>
      <c r="J345" s="64" t="s">
        <v>160</v>
      </c>
      <c r="K345" s="30">
        <v>88223073</v>
      </c>
      <c r="L345" s="57"/>
    </row>
    <row r="346" spans="1:12" ht="24">
      <c r="A346" s="214"/>
      <c r="B346" s="197"/>
      <c r="C346" s="197"/>
      <c r="D346" s="197"/>
      <c r="E346" s="197"/>
      <c r="F346" s="197"/>
      <c r="G346" s="26" t="str">
        <f ca="1">IFERROR(__xludf.DUMMYFUNCTION("IF(I346="""","""",FILTER(DATOS!$D$4:$D$237,DATOS!$B$4:$B$237=I346))"),"19-231")</f>
        <v>19-231</v>
      </c>
      <c r="H346" s="27" t="str">
        <f ca="1">IFERROR(__xludf.DUMMYFUNCTION("IF(I346="""","""",FILTER(DATOS!$C$4:$C$237,DATOS!$B$4:$B$237=I346))"),"CIUDAD BOLIVAR")</f>
        <v>CIUDAD BOLIVAR</v>
      </c>
      <c r="I346" s="63" t="s">
        <v>104</v>
      </c>
      <c r="J346" s="64" t="s">
        <v>160</v>
      </c>
      <c r="K346" s="30">
        <v>88223073</v>
      </c>
      <c r="L346" s="57"/>
    </row>
    <row r="347" spans="1:12" ht="24">
      <c r="A347" s="214"/>
      <c r="B347" s="197"/>
      <c r="C347" s="197"/>
      <c r="D347" s="197"/>
      <c r="E347" s="197"/>
      <c r="F347" s="197"/>
      <c r="G347" s="26" t="str">
        <f ca="1">IFERROR(__xludf.DUMMYFUNCTION("IF(I347="""","""",FILTER(DATOS!$D$4:$D$237,DATOS!$B$4:$B$237=I347))"),"19-348")</f>
        <v>19-348</v>
      </c>
      <c r="H347" s="27" t="str">
        <f ca="1">IFERROR(__xludf.DUMMYFUNCTION("IF(I347="""","""",FILTER(DATOS!$C$4:$C$237,DATOS!$B$4:$B$237=I347))"),"CIUDAD BOLIVAR")</f>
        <v>CIUDAD BOLIVAR</v>
      </c>
      <c r="I347" s="63" t="s">
        <v>128</v>
      </c>
      <c r="J347" s="64" t="s">
        <v>160</v>
      </c>
      <c r="K347" s="30">
        <v>88223073</v>
      </c>
      <c r="L347" s="57"/>
    </row>
    <row r="348" spans="1:12" ht="24">
      <c r="A348" s="214"/>
      <c r="B348" s="197"/>
      <c r="C348" s="197"/>
      <c r="D348" s="197"/>
      <c r="E348" s="197"/>
      <c r="F348" s="197"/>
      <c r="G348" s="26" t="str">
        <f ca="1">IFERROR(__xludf.DUMMYFUNCTION("IF(I348="""","""",FILTER(DATOS!$D$4:$D$237,DATOS!$B$4:$B$237=I348))"),"19-756")</f>
        <v>19-756</v>
      </c>
      <c r="H348" s="27" t="str">
        <f ca="1">IFERROR(__xludf.DUMMYFUNCTION("IF(I348="""","""",FILTER(DATOS!$C$4:$C$237,DATOS!$B$4:$B$237=I348))"),"CIUDAD BOLIVAR")</f>
        <v>CIUDAD BOLIVAR</v>
      </c>
      <c r="I348" s="63" t="s">
        <v>71</v>
      </c>
      <c r="J348" s="64" t="s">
        <v>160</v>
      </c>
      <c r="K348" s="30">
        <v>88223073</v>
      </c>
      <c r="L348" s="57"/>
    </row>
    <row r="349" spans="1:12" ht="24">
      <c r="A349" s="214"/>
      <c r="B349" s="197"/>
      <c r="C349" s="197"/>
      <c r="D349" s="197"/>
      <c r="E349" s="197"/>
      <c r="F349" s="197"/>
      <c r="G349" s="26" t="str">
        <f ca="1">IFERROR(__xludf.DUMMYFUNCTION("IF(I349="""","""",FILTER(DATOS!$D$4:$D$237,DATOS!$B$4:$B$237=I349))"),"19-347")</f>
        <v>19-347</v>
      </c>
      <c r="H349" s="27" t="str">
        <f ca="1">IFERROR(__xludf.DUMMYFUNCTION("IF(I349="""","""",FILTER(DATOS!$C$4:$C$237,DATOS!$B$4:$B$237=I349))"),"CIUDAD BOLIVAR")</f>
        <v>CIUDAD BOLIVAR</v>
      </c>
      <c r="I349" s="63" t="s">
        <v>75</v>
      </c>
      <c r="J349" s="64" t="s">
        <v>160</v>
      </c>
      <c r="K349" s="30">
        <v>88223073</v>
      </c>
      <c r="L349" s="57"/>
    </row>
    <row r="350" spans="1:12" ht="24">
      <c r="A350" s="214"/>
      <c r="B350" s="197"/>
      <c r="C350" s="197"/>
      <c r="D350" s="197"/>
      <c r="E350" s="197"/>
      <c r="F350" s="197"/>
      <c r="G350" s="26" t="str">
        <f ca="1">IFERROR(__xludf.DUMMYFUNCTION("IF(I350="""","""",FILTER(DATOS!$D$4:$D$237,DATOS!$B$4:$B$237=I350))"),"19-190")</f>
        <v>19-190</v>
      </c>
      <c r="H350" s="27" t="str">
        <f ca="1">IFERROR(__xludf.DUMMYFUNCTION("IF(I350="""","""",FILTER(DATOS!$C$4:$C$237,DATOS!$B$4:$B$237=I350))"),"CIUDAD BOLIVAR")</f>
        <v>CIUDAD BOLIVAR</v>
      </c>
      <c r="I350" s="63" t="s">
        <v>127</v>
      </c>
      <c r="J350" s="64" t="s">
        <v>160</v>
      </c>
      <c r="K350" s="30">
        <v>83634525</v>
      </c>
      <c r="L350" s="57"/>
    </row>
    <row r="351" spans="1:12" ht="24">
      <c r="A351" s="214"/>
      <c r="B351" s="197"/>
      <c r="C351" s="197"/>
      <c r="D351" s="197"/>
      <c r="E351" s="197"/>
      <c r="F351" s="197"/>
      <c r="G351" s="26" t="str">
        <f ca="1">IFERROR(__xludf.DUMMYFUNCTION("IF(I351="""","""",FILTER(DATOS!$D$4:$D$237,DATOS!$B$4:$B$237=I351))"),"06-017")</f>
        <v>06-017</v>
      </c>
      <c r="H351" s="27" t="str">
        <f ca="1">IFERROR(__xludf.DUMMYFUNCTION("IF(I351="""","""",FILTER(DATOS!$C$4:$C$237,DATOS!$B$4:$B$237=I351))"),"TUNJUELITO")</f>
        <v>TUNJUELITO</v>
      </c>
      <c r="I351" s="63" t="s">
        <v>117</v>
      </c>
      <c r="J351" s="64" t="s">
        <v>160</v>
      </c>
      <c r="K351" s="30">
        <v>99174110</v>
      </c>
      <c r="L351" s="57"/>
    </row>
    <row r="352" spans="1:12" ht="24">
      <c r="A352" s="214"/>
      <c r="B352" s="197"/>
      <c r="C352" s="197"/>
      <c r="D352" s="197"/>
      <c r="E352" s="197"/>
      <c r="F352" s="197"/>
      <c r="G352" s="26" t="str">
        <f ca="1">IFERROR(__xludf.DUMMYFUNCTION("IF(I352="""","""",FILTER(DATOS!$D$4:$D$237,DATOS!$B$4:$B$237=I352))"),"06-063")</f>
        <v>06-063</v>
      </c>
      <c r="H352" s="27" t="str">
        <f ca="1">IFERROR(__xludf.DUMMYFUNCTION("IF(I352="""","""",FILTER(DATOS!$C$4:$C$237,DATOS!$B$4:$B$237=I352))"),"TUNJUELITO")</f>
        <v>TUNJUELITO</v>
      </c>
      <c r="I352" s="65" t="s">
        <v>87</v>
      </c>
      <c r="J352" s="64" t="s">
        <v>160</v>
      </c>
      <c r="K352" s="30">
        <v>559684339</v>
      </c>
      <c r="L352" s="57"/>
    </row>
    <row r="353" spans="1:12" ht="24">
      <c r="A353" s="214"/>
      <c r="B353" s="197"/>
      <c r="C353" s="197"/>
      <c r="D353" s="197"/>
      <c r="E353" s="197"/>
      <c r="F353" s="197"/>
      <c r="G353" s="26" t="str">
        <f ca="1">IFERROR(__xludf.DUMMYFUNCTION("IF(I353="""","""",FILTER(DATOS!$D$4:$D$237,DATOS!$B$4:$B$237=I353))"),"06-063")</f>
        <v>06-063</v>
      </c>
      <c r="H353" s="27" t="str">
        <f ca="1">IFERROR(__xludf.DUMMYFUNCTION("IF(I353="""","""",FILTER(DATOS!$C$4:$C$237,DATOS!$B$4:$B$237=I353))"),"TUNJUELITO")</f>
        <v>TUNJUELITO</v>
      </c>
      <c r="I353" s="63" t="s">
        <v>88</v>
      </c>
      <c r="J353" s="64" t="s">
        <v>160</v>
      </c>
      <c r="K353" s="30">
        <v>399818439</v>
      </c>
      <c r="L353" s="57"/>
    </row>
    <row r="354" spans="1:12" ht="24">
      <c r="A354" s="214"/>
      <c r="B354" s="197"/>
      <c r="C354" s="197"/>
      <c r="D354" s="197"/>
      <c r="E354" s="197"/>
      <c r="F354" s="197"/>
      <c r="G354" s="26" t="str">
        <f ca="1">IFERROR(__xludf.DUMMYFUNCTION("IF(I354="""","""",FILTER(DATOS!$D$4:$D$237,DATOS!$B$4:$B$237=I354))"),"05-002")</f>
        <v>05-002</v>
      </c>
      <c r="H354" s="27" t="str">
        <f ca="1">IFERROR(__xludf.DUMMYFUNCTION("IF(I354="""","""",FILTER(DATOS!$C$4:$C$237,DATOS!$B$4:$B$237=I354))"),"USME")</f>
        <v>USME</v>
      </c>
      <c r="I354" s="63" t="s">
        <v>102</v>
      </c>
      <c r="J354" s="64" t="s">
        <v>160</v>
      </c>
      <c r="K354" s="30">
        <v>44111536</v>
      </c>
      <c r="L354" s="57"/>
    </row>
    <row r="355" spans="1:12" ht="24">
      <c r="A355" s="214"/>
      <c r="B355" s="197"/>
      <c r="C355" s="197"/>
      <c r="D355" s="197"/>
      <c r="E355" s="197"/>
      <c r="F355" s="197"/>
      <c r="G355" s="26" t="str">
        <f ca="1">IFERROR(__xludf.DUMMYFUNCTION("IF(I355="""","""",FILTER(DATOS!$D$4:$D$237,DATOS!$B$4:$B$237=I355))"),"05-003")</f>
        <v>05-003</v>
      </c>
      <c r="H355" s="27" t="str">
        <f ca="1">IFERROR(__xludf.DUMMYFUNCTION("IF(I355="""","""",FILTER(DATOS!$C$4:$C$237,DATOS!$B$4:$B$237=I355))"),"USME")</f>
        <v>USME</v>
      </c>
      <c r="I355" s="63" t="s">
        <v>133</v>
      </c>
      <c r="J355" s="64" t="s">
        <v>160</v>
      </c>
      <c r="K355" s="30">
        <v>44111536</v>
      </c>
      <c r="L355" s="57"/>
    </row>
    <row r="356" spans="1:12" ht="24">
      <c r="A356" s="214"/>
      <c r="B356" s="197"/>
      <c r="C356" s="197"/>
      <c r="D356" s="197"/>
      <c r="E356" s="197"/>
      <c r="F356" s="197"/>
      <c r="G356" s="26" t="str">
        <f ca="1">IFERROR(__xludf.DUMMYFUNCTION("IF(I356="""","""",FILTER(DATOS!$D$4:$D$237,DATOS!$B$4:$B$237=I356))"),"05-004")</f>
        <v>05-004</v>
      </c>
      <c r="H356" s="27" t="str">
        <f ca="1">IFERROR(__xludf.DUMMYFUNCTION("IF(I356="""","""",FILTER(DATOS!$C$4:$C$237,DATOS!$B$4:$B$237=I356))"),"USME")</f>
        <v>USME</v>
      </c>
      <c r="I356" s="63" t="s">
        <v>101</v>
      </c>
      <c r="J356" s="64" t="s">
        <v>160</v>
      </c>
      <c r="K356" s="30">
        <v>53288632</v>
      </c>
      <c r="L356" s="57"/>
    </row>
    <row r="357" spans="1:12" ht="24">
      <c r="A357" s="214"/>
      <c r="B357" s="197"/>
      <c r="C357" s="197"/>
      <c r="D357" s="197"/>
      <c r="E357" s="197"/>
      <c r="F357" s="197"/>
      <c r="G357" s="26" t="str">
        <f ca="1">IFERROR(__xludf.DUMMYFUNCTION("IF(I357="""","""",FILTER(DATOS!$D$4:$D$237,DATOS!$B$4:$B$237=I357))"),"05-016")</f>
        <v>05-016</v>
      </c>
      <c r="H357" s="27" t="str">
        <f ca="1">IFERROR(__xludf.DUMMYFUNCTION("IF(I357="""","""",FILTER(DATOS!$C$4:$C$237,DATOS!$B$4:$B$237=I357))"),"USME")</f>
        <v>USME</v>
      </c>
      <c r="I357" s="66" t="s">
        <v>89</v>
      </c>
      <c r="J357" s="64" t="s">
        <v>160</v>
      </c>
      <c r="K357" s="30">
        <v>123157514</v>
      </c>
      <c r="L357" s="57"/>
    </row>
    <row r="358" spans="1:12" ht="24">
      <c r="A358" s="214"/>
      <c r="B358" s="197"/>
      <c r="C358" s="197"/>
      <c r="D358" s="197"/>
      <c r="E358" s="197"/>
      <c r="F358" s="197"/>
      <c r="G358" s="26" t="str">
        <f ca="1">IFERROR(__xludf.DUMMYFUNCTION("IF(I358="""","""",FILTER(DATOS!$D$4:$D$237,DATOS!$B$4:$B$237=I358))"),"05-087")</f>
        <v>05-087</v>
      </c>
      <c r="H358" s="27" t="str">
        <f ca="1">IFERROR(__xludf.DUMMYFUNCTION("IF(I358="""","""",FILTER(DATOS!$C$4:$C$237,DATOS!$B$4:$B$237=I358))"),"USME")</f>
        <v>USME</v>
      </c>
      <c r="I358" s="63" t="s">
        <v>135</v>
      </c>
      <c r="J358" s="64" t="s">
        <v>160</v>
      </c>
      <c r="K358" s="30">
        <v>44111536</v>
      </c>
      <c r="L358" s="57"/>
    </row>
    <row r="359" spans="1:12" ht="24">
      <c r="A359" s="214"/>
      <c r="B359" s="197"/>
      <c r="C359" s="197"/>
      <c r="D359" s="197"/>
      <c r="E359" s="197"/>
      <c r="F359" s="197"/>
      <c r="G359" s="26" t="str">
        <f ca="1">IFERROR(__xludf.DUMMYFUNCTION("IF(I359="""","""",FILTER(DATOS!$D$4:$D$237,DATOS!$B$4:$B$237=I359))"),"05-236")</f>
        <v>05-236</v>
      </c>
      <c r="H359" s="27" t="str">
        <f ca="1">IFERROR(__xludf.DUMMYFUNCTION("IF(I359="""","""",FILTER(DATOS!$C$4:$C$237,DATOS!$B$4:$B$237=I359))"),"USME")</f>
        <v>USME</v>
      </c>
      <c r="I359" s="63" t="s">
        <v>122</v>
      </c>
      <c r="J359" s="64" t="s">
        <v>160</v>
      </c>
      <c r="K359" s="30">
        <v>57877180</v>
      </c>
      <c r="L359" s="57"/>
    </row>
    <row r="360" spans="1:12" ht="24">
      <c r="A360" s="214"/>
      <c r="B360" s="197"/>
      <c r="C360" s="197"/>
      <c r="D360" s="197"/>
      <c r="E360" s="197"/>
      <c r="F360" s="197"/>
      <c r="G360" s="26" t="str">
        <f ca="1">IFERROR(__xludf.DUMMYFUNCTION("IF(I360="""","""",FILTER(DATOS!$D$4:$D$237,DATOS!$B$4:$B$237=I360))"),"18-028")</f>
        <v>18-028</v>
      </c>
      <c r="H360" s="27" t="str">
        <f ca="1">IFERROR(__xludf.DUMMYFUNCTION("IF(I360="""","""",FILTER(DATOS!$C$4:$C$237,DATOS!$B$4:$B$237=I360))"),"RAFAEL URIBE")</f>
        <v>RAFAEL URIBE</v>
      </c>
      <c r="I360" s="63" t="s">
        <v>74</v>
      </c>
      <c r="J360" s="64" t="s">
        <v>160</v>
      </c>
      <c r="K360" s="30">
        <v>162680503</v>
      </c>
      <c r="L360" s="57"/>
    </row>
    <row r="361" spans="1:12" ht="24">
      <c r="A361" s="214"/>
      <c r="B361" s="197"/>
      <c r="C361" s="197"/>
      <c r="D361" s="197"/>
      <c r="E361" s="197"/>
      <c r="F361" s="197"/>
      <c r="G361" s="26" t="str">
        <f ca="1">IFERROR(__xludf.DUMMYFUNCTION("IF(I361="""","""",FILTER(DATOS!$D$4:$D$237,DATOS!$B$4:$B$237=I361))"),"18-162")</f>
        <v>18-162</v>
      </c>
      <c r="H361" s="27" t="str">
        <f ca="1">IFERROR(__xludf.DUMMYFUNCTION("IF(I361="""","""",FILTER(DATOS!$C$4:$C$237,DATOS!$B$4:$B$237=I361))"),"RAFAEL URIBE")</f>
        <v>RAFAEL URIBE</v>
      </c>
      <c r="I361" s="63" t="s">
        <v>113</v>
      </c>
      <c r="J361" s="64" t="s">
        <v>160</v>
      </c>
      <c r="K361" s="30">
        <v>44111536</v>
      </c>
      <c r="L361" s="57"/>
    </row>
    <row r="362" spans="1:12" ht="24">
      <c r="A362" s="214"/>
      <c r="B362" s="197"/>
      <c r="C362" s="197"/>
      <c r="D362" s="197"/>
      <c r="E362" s="197"/>
      <c r="F362" s="197"/>
      <c r="G362" s="26" t="str">
        <f ca="1">IFERROR(__xludf.DUMMYFUNCTION("IF(I362="""","""",FILTER(DATOS!$D$4:$D$237,DATOS!$B$4:$B$237=I362))"),"18-205")</f>
        <v>18-205</v>
      </c>
      <c r="H362" s="27" t="str">
        <f ca="1">IFERROR(__xludf.DUMMYFUNCTION("IF(I362="""","""",FILTER(DATOS!$C$4:$C$237,DATOS!$B$4:$B$237=I362))"),"RAFAEL URIBE")</f>
        <v>RAFAEL URIBE</v>
      </c>
      <c r="I362" s="63" t="s">
        <v>121</v>
      </c>
      <c r="J362" s="64" t="s">
        <v>160</v>
      </c>
      <c r="K362" s="30">
        <v>57877180</v>
      </c>
      <c r="L362" s="57"/>
    </row>
    <row r="363" spans="1:12" ht="24">
      <c r="A363" s="214"/>
      <c r="B363" s="197"/>
      <c r="C363" s="197"/>
      <c r="D363" s="197"/>
      <c r="E363" s="197"/>
      <c r="F363" s="197"/>
      <c r="G363" s="26" t="str">
        <f ca="1">IFERROR(__xludf.DUMMYFUNCTION("IF(I363="""","""",FILTER(DATOS!$D$4:$D$237,DATOS!$B$4:$B$237=I363))"),"18-207")</f>
        <v>18-207</v>
      </c>
      <c r="H363" s="27" t="str">
        <f ca="1">IFERROR(__xludf.DUMMYFUNCTION("IF(I363="""","""",FILTER(DATOS!$C$4:$C$237,DATOS!$B$4:$B$237=I363))"),"RAFAEL URIBE")</f>
        <v>RAFAEL URIBE</v>
      </c>
      <c r="I363" s="63" t="s">
        <v>93</v>
      </c>
      <c r="J363" s="64" t="s">
        <v>160</v>
      </c>
      <c r="K363" s="30">
        <v>162680508</v>
      </c>
      <c r="L363" s="57"/>
    </row>
    <row r="364" spans="1:12" ht="24">
      <c r="A364" s="214"/>
      <c r="B364" s="197"/>
      <c r="C364" s="197"/>
      <c r="D364" s="197"/>
      <c r="E364" s="197"/>
      <c r="F364" s="197"/>
      <c r="G364" s="26" t="str">
        <f ca="1">IFERROR(__xludf.DUMMYFUNCTION("IF(I364="""","""",FILTER(DATOS!$D$4:$D$237,DATOS!$B$4:$B$237=I364))"),"18-090")</f>
        <v>18-090</v>
      </c>
      <c r="H364" s="27" t="str">
        <f ca="1">IFERROR(__xludf.DUMMYFUNCTION("IF(I364="""","""",FILTER(DATOS!$C$4:$C$237,DATOS!$B$4:$B$237=I364))"),"RAFAEL URIBE")</f>
        <v>RAFAEL URIBE</v>
      </c>
      <c r="I364" s="63" t="s">
        <v>94</v>
      </c>
      <c r="J364" s="64" t="s">
        <v>160</v>
      </c>
      <c r="K364" s="30">
        <v>44111536</v>
      </c>
      <c r="L364" s="57"/>
    </row>
    <row r="365" spans="1:12" ht="24">
      <c r="A365" s="214"/>
      <c r="B365" s="197"/>
      <c r="C365" s="197"/>
      <c r="D365" s="197"/>
      <c r="E365" s="197"/>
      <c r="F365" s="197"/>
      <c r="G365" s="26" t="str">
        <f ca="1">IFERROR(__xludf.DUMMYFUNCTION("IF(I365="""","""",FILTER(DATOS!$D$4:$D$237,DATOS!$B$4:$B$237=I365))"),"18-452")</f>
        <v>18-452</v>
      </c>
      <c r="H365" s="27" t="str">
        <f ca="1">IFERROR(__xludf.DUMMYFUNCTION("IF(I365="""","""",FILTER(DATOS!$C$4:$C$237,DATOS!$B$4:$B$237=I365))"),"RAFAEL URIBE")</f>
        <v>RAFAEL URIBE</v>
      </c>
      <c r="I365" s="63" t="s">
        <v>98</v>
      </c>
      <c r="J365" s="64" t="s">
        <v>160</v>
      </c>
      <c r="K365" s="30">
        <v>44111536</v>
      </c>
      <c r="L365" s="57"/>
    </row>
    <row r="366" spans="1:12" ht="24">
      <c r="A366" s="214"/>
      <c r="B366" s="197"/>
      <c r="C366" s="197"/>
      <c r="D366" s="197"/>
      <c r="E366" s="197"/>
      <c r="F366" s="197"/>
      <c r="G366" s="26" t="str">
        <f ca="1">IFERROR(__xludf.DUMMYFUNCTION("IF(I366="""","""",FILTER(DATOS!$D$4:$D$237,DATOS!$B$4:$B$237=I366))"),"18-073")</f>
        <v>18-073</v>
      </c>
      <c r="H366" s="27" t="str">
        <f ca="1">IFERROR(__xludf.DUMMYFUNCTION("IF(I366="""","""",FILTER(DATOS!$C$4:$C$237,DATOS!$B$4:$B$237=I366))"),"RAFAEL URIBE")</f>
        <v>RAFAEL URIBE</v>
      </c>
      <c r="I366" s="63" t="s">
        <v>126</v>
      </c>
      <c r="J366" s="64" t="s">
        <v>160</v>
      </c>
      <c r="K366" s="30">
        <v>39522989</v>
      </c>
      <c r="L366" s="57"/>
    </row>
    <row r="367" spans="1:12">
      <c r="A367" s="214"/>
      <c r="B367" s="197"/>
      <c r="C367" s="197"/>
      <c r="D367" s="197"/>
      <c r="E367" s="197"/>
      <c r="F367" s="197"/>
      <c r="G367" s="26" t="str">
        <f ca="1">IFERROR(__xludf.DUMMYFUNCTION("IF(I367="""","""",FILTER(DATOS!$D$4:$D$237,DATOS!$B$4:$B$237=I367))"),"04-127")</f>
        <v>04-127</v>
      </c>
      <c r="H367" s="27" t="str">
        <f ca="1">IFERROR(__xludf.DUMMYFUNCTION("IF(I367="""","""",FILTER(DATOS!$C$4:$C$237,DATOS!$B$4:$B$237=I367))"),"SAN CRISTOBAL")</f>
        <v>SAN CRISTOBAL</v>
      </c>
      <c r="I367" s="63" t="s">
        <v>124</v>
      </c>
      <c r="J367" s="64" t="s">
        <v>154</v>
      </c>
      <c r="K367" s="30">
        <v>389704237</v>
      </c>
      <c r="L367" s="57"/>
    </row>
    <row r="368" spans="1:12">
      <c r="A368" s="214"/>
      <c r="B368" s="197"/>
      <c r="C368" s="197"/>
      <c r="D368" s="197"/>
      <c r="E368" s="197"/>
      <c r="F368" s="197"/>
      <c r="G368" s="26" t="str">
        <f ca="1">IFERROR(__xludf.DUMMYFUNCTION("IF(I368="""","""",FILTER(DATOS!$D$4:$D$237,DATOS!$B$4:$B$237=I368))"),"11-368")</f>
        <v>11-368</v>
      </c>
      <c r="H368" s="27" t="str">
        <f ca="1">IFERROR(__xludf.DUMMYFUNCTION("IF(I368="""","""",FILTER(DATOS!$C$4:$C$237,DATOS!$B$4:$B$237=I368))"),"SUBA")</f>
        <v>SUBA</v>
      </c>
      <c r="I368" s="63" t="s">
        <v>35</v>
      </c>
      <c r="J368" s="64" t="s">
        <v>154</v>
      </c>
      <c r="K368" s="30">
        <v>345779710</v>
      </c>
      <c r="L368" s="57"/>
    </row>
    <row r="369" spans="1:12">
      <c r="A369" s="214"/>
      <c r="B369" s="197"/>
      <c r="C369" s="197"/>
      <c r="D369" s="197"/>
      <c r="E369" s="197"/>
      <c r="F369" s="197"/>
      <c r="G369" s="26" t="str">
        <f ca="1">IFERROR(__xludf.DUMMYFUNCTION("IF(I369="""","""",FILTER(DATOS!$D$4:$D$237,DATOS!$B$4:$B$237=I369))"),"06-063")</f>
        <v>06-063</v>
      </c>
      <c r="H369" s="27" t="str">
        <f ca="1">IFERROR(__xludf.DUMMYFUNCTION("IF(I369="""","""",FILTER(DATOS!$C$4:$C$237,DATOS!$B$4:$B$237=I369))"),"TUNJUELITO")</f>
        <v>TUNJUELITO</v>
      </c>
      <c r="I369" s="63" t="s">
        <v>88</v>
      </c>
      <c r="J369" s="64" t="s">
        <v>154</v>
      </c>
      <c r="K369" s="30">
        <v>383583296</v>
      </c>
      <c r="L369" s="57"/>
    </row>
    <row r="370" spans="1:12">
      <c r="A370" s="214"/>
      <c r="B370" s="197"/>
      <c r="C370" s="197"/>
      <c r="D370" s="197"/>
      <c r="E370" s="197"/>
      <c r="F370" s="197"/>
      <c r="G370" s="26" t="str">
        <f ca="1">IFERROR(__xludf.DUMMYFUNCTION("IF(I370="""","""",FILTER(DATOS!$D$4:$D$237,DATOS!$B$4:$B$237=I370))"),"11-204")</f>
        <v>11-204</v>
      </c>
      <c r="H370" s="27" t="str">
        <f ca="1">IFERROR(__xludf.DUMMYFUNCTION("IF(I370="""","""",FILTER(DATOS!$C$4:$C$237,DATOS!$B$4:$B$237=I370))"),"SUBA")</f>
        <v>SUBA</v>
      </c>
      <c r="I370" s="63" t="s">
        <v>68</v>
      </c>
      <c r="J370" s="64" t="s">
        <v>154</v>
      </c>
      <c r="K370" s="30">
        <v>218928802</v>
      </c>
      <c r="L370" s="57"/>
    </row>
    <row r="371" spans="1:12">
      <c r="A371" s="214"/>
      <c r="B371" s="197"/>
      <c r="C371" s="197"/>
      <c r="D371" s="197"/>
      <c r="E371" s="197"/>
      <c r="F371" s="197"/>
      <c r="G371" s="32" t="str">
        <f ca="1">IFERROR(__xludf.DUMMYFUNCTION("IF(I371="""","""",FILTER(DATOS!$D$4:$D$237,DATOS!$B$4:$B$237=I371))"),"12-1000")</f>
        <v>12-1000</v>
      </c>
      <c r="H371" s="33" t="str">
        <f ca="1">IFERROR(__xludf.DUMMYFUNCTION("IF(I371="""","""",FILTER(DATOS!$C$4:$C$237,DATOS!$B$4:$B$237=I371))"),"BARRIOS UNIDOS")</f>
        <v>BARRIOS UNIDOS</v>
      </c>
      <c r="I371" s="63" t="s">
        <v>28</v>
      </c>
      <c r="J371" s="64" t="s">
        <v>154</v>
      </c>
      <c r="K371" s="30">
        <v>597687800</v>
      </c>
      <c r="L371" s="57"/>
    </row>
    <row r="372" spans="1:12">
      <c r="A372" s="214"/>
      <c r="B372" s="197"/>
      <c r="C372" s="197"/>
      <c r="D372" s="197"/>
      <c r="E372" s="197"/>
      <c r="F372" s="197"/>
      <c r="G372" s="26" t="str">
        <f ca="1">IFERROR(__xludf.DUMMYFUNCTION("IF(I372="""","""",FILTER(DATOS!$D$4:$D$237,DATOS!$B$4:$B$237=I372))"),"09-111")</f>
        <v>09-111</v>
      </c>
      <c r="H372" s="27" t="str">
        <f ca="1">IFERROR(__xludf.DUMMYFUNCTION("IF(I372="""","""",FILTER(DATOS!$C$4:$C$237,DATOS!$B$4:$B$237=I372))"),"FONTIBON")</f>
        <v>FONTIBON</v>
      </c>
      <c r="I372" s="63" t="s">
        <v>57</v>
      </c>
      <c r="J372" s="64" t="s">
        <v>154</v>
      </c>
      <c r="K372" s="30">
        <v>171612252</v>
      </c>
      <c r="L372" s="57"/>
    </row>
    <row r="373" spans="1:12">
      <c r="A373" s="214"/>
      <c r="B373" s="197"/>
      <c r="C373" s="197"/>
      <c r="D373" s="197"/>
      <c r="E373" s="197"/>
      <c r="F373" s="197"/>
      <c r="G373" s="26" t="str">
        <f ca="1">IFERROR(__xludf.DUMMYFUNCTION("IF(I373="""","""",FILTER(DATOS!$D$4:$D$237,DATOS!$B$4:$B$237=I373))"),"10-223")</f>
        <v>10-223</v>
      </c>
      <c r="H373" s="27" t="str">
        <f ca="1">IFERROR(__xludf.DUMMYFUNCTION("IF(I373="""","""",FILTER(DATOS!$C$4:$C$237,DATOS!$B$4:$B$237=I373))"),"ENGATIVA")</f>
        <v>ENGATIVA</v>
      </c>
      <c r="I373" s="63" t="s">
        <v>41</v>
      </c>
      <c r="J373" s="64" t="s">
        <v>154</v>
      </c>
      <c r="K373" s="30">
        <v>171612251</v>
      </c>
      <c r="L373" s="57"/>
    </row>
    <row r="374" spans="1:12">
      <c r="A374" s="214"/>
      <c r="B374" s="197"/>
      <c r="C374" s="197"/>
      <c r="D374" s="197"/>
      <c r="E374" s="197"/>
      <c r="F374" s="197"/>
      <c r="G374" s="26" t="str">
        <f ca="1">IFERROR(__xludf.DUMMYFUNCTION("IF(I374="""","""",FILTER(DATOS!$D$4:$D$237,DATOS!$B$4:$B$237=I374))"),"05-016")</f>
        <v>05-016</v>
      </c>
      <c r="H374" s="27" t="str">
        <f ca="1">IFERROR(__xludf.DUMMYFUNCTION("IF(I374="""","""",FILTER(DATOS!$C$4:$C$237,DATOS!$B$4:$B$237=I374))"),"USME")</f>
        <v>USME</v>
      </c>
      <c r="I374" s="63" t="s">
        <v>89</v>
      </c>
      <c r="J374" s="64" t="s">
        <v>154</v>
      </c>
      <c r="K374" s="30">
        <v>117293463</v>
      </c>
      <c r="L374" s="57"/>
    </row>
    <row r="375" spans="1:12">
      <c r="A375" s="214"/>
      <c r="B375" s="197"/>
      <c r="C375" s="197"/>
      <c r="D375" s="197"/>
      <c r="E375" s="197"/>
      <c r="F375" s="197"/>
      <c r="G375" s="26" t="str">
        <f ca="1">IFERROR(__xludf.DUMMYFUNCTION("IF(I375="""","""",FILTER(DATOS!$D$4:$D$237,DATOS!$B$4:$B$237=I375))"),"08-034")</f>
        <v>08-034</v>
      </c>
      <c r="H375" s="27" t="str">
        <f ca="1">IFERROR(__xludf.DUMMYFUNCTION("IF(I375="""","""",FILTER(DATOS!$C$4:$C$237,DATOS!$B$4:$B$237=I375))"),"KENNEDY")</f>
        <v>KENNEDY</v>
      </c>
      <c r="I375" s="63" t="s">
        <v>118</v>
      </c>
      <c r="J375" s="64" t="s">
        <v>154</v>
      </c>
      <c r="K375" s="30">
        <v>117293463</v>
      </c>
      <c r="L375" s="57"/>
    </row>
    <row r="376" spans="1:12">
      <c r="A376" s="214"/>
      <c r="B376" s="197"/>
      <c r="C376" s="197"/>
      <c r="D376" s="197"/>
      <c r="E376" s="197"/>
      <c r="F376" s="197"/>
      <c r="G376" s="26" t="str">
        <f ca="1">IFERROR(__xludf.DUMMYFUNCTION("IF(I376="""","""",FILTER(DATOS!$D$4:$D$237,DATOS!$B$4:$B$237=I376))"),"07-152")</f>
        <v>07-152</v>
      </c>
      <c r="H376" s="27" t="str">
        <f ca="1">IFERROR(__xludf.DUMMYFUNCTION("IF(I376="""","""",FILTER(DATOS!$C$4:$C$237,DATOS!$B$4:$B$237=I376))"),"BOSA")</f>
        <v>BOSA</v>
      </c>
      <c r="I376" s="63" t="s">
        <v>92</v>
      </c>
      <c r="J376" s="64" t="s">
        <v>154</v>
      </c>
      <c r="K376" s="30">
        <v>117293461</v>
      </c>
      <c r="L376" s="57"/>
    </row>
    <row r="377" spans="1:12">
      <c r="A377" s="214"/>
      <c r="B377" s="197"/>
      <c r="C377" s="197"/>
      <c r="D377" s="197"/>
      <c r="E377" s="197"/>
      <c r="F377" s="197"/>
      <c r="G377" s="26" t="str">
        <f ca="1">IFERROR(__xludf.DUMMYFUNCTION("IF(I377="""","""",FILTER(DATOS!$D$4:$D$237,DATOS!$B$4:$B$237=I377))"),"19-189")</f>
        <v>19-189</v>
      </c>
      <c r="H377" s="27" t="str">
        <f ca="1">IFERROR(__xludf.DUMMYFUNCTION("IF(I377="""","""",FILTER(DATOS!$C$4:$C$237,DATOS!$B$4:$B$237=I377))"),"CIUDAD BOLIVAR")</f>
        <v>CIUDAD BOLIVAR</v>
      </c>
      <c r="I377" s="63" t="s">
        <v>76</v>
      </c>
      <c r="J377" s="64" t="s">
        <v>154</v>
      </c>
      <c r="K377" s="30">
        <v>117293463</v>
      </c>
      <c r="L377" s="57"/>
    </row>
    <row r="378" spans="1:12" ht="15.75" thickBot="1">
      <c r="A378" s="186"/>
      <c r="B378" s="191"/>
      <c r="C378" s="191"/>
      <c r="D378" s="191"/>
      <c r="E378" s="191"/>
      <c r="F378" s="191"/>
      <c r="G378" s="67" t="s">
        <v>162</v>
      </c>
      <c r="H378" s="67" t="s">
        <v>163</v>
      </c>
      <c r="I378" s="68" t="s">
        <v>111</v>
      </c>
      <c r="J378" s="69" t="s">
        <v>154</v>
      </c>
      <c r="K378" s="46">
        <v>117293463</v>
      </c>
      <c r="L378" s="57"/>
    </row>
    <row r="379" spans="1:12" ht="15.75" customHeight="1">
      <c r="A379" s="218" t="s">
        <v>164</v>
      </c>
      <c r="B379" s="219" t="s">
        <v>165</v>
      </c>
      <c r="C379" s="219" t="s">
        <v>18</v>
      </c>
      <c r="D379" s="220">
        <v>45417</v>
      </c>
      <c r="E379" s="220">
        <v>45747</v>
      </c>
      <c r="F379" s="221">
        <v>0.63319999999999999</v>
      </c>
      <c r="G379" s="71" t="str">
        <f ca="1">IFERROR(__xludf.DUMMYFUNCTION("IF(I379="""","""",FILTER(DATOS!$D$4:$D$237,DATOS!$B$4:$B$237=I379))"),"12-015")</f>
        <v>12-015</v>
      </c>
      <c r="H379" s="72" t="str">
        <f ca="1">IFERROR(__xludf.DUMMYFUNCTION("IF(I379="""","""",FILTER(DATOS!$C$4:$C$237,DATOS!$B$4:$B$237=I379))"),"BARRIOS UNIDOS")</f>
        <v>BARRIOS UNIDOS</v>
      </c>
      <c r="I379" s="73" t="s">
        <v>19</v>
      </c>
      <c r="J379" s="48" t="s">
        <v>18</v>
      </c>
      <c r="K379" s="25">
        <v>105324204</v>
      </c>
      <c r="L379" s="57">
        <v>43276528787</v>
      </c>
    </row>
    <row r="380" spans="1:12" ht="15.75" customHeight="1">
      <c r="A380" s="214"/>
      <c r="B380" s="197"/>
      <c r="C380" s="197"/>
      <c r="D380" s="197"/>
      <c r="E380" s="197"/>
      <c r="F380" s="197"/>
      <c r="G380" s="26" t="str">
        <f ca="1">IFERROR(__xludf.DUMMYFUNCTION("IF(I380="""","""",FILTER(DATOS!$D$4:$D$237,DATOS!$B$4:$B$237=I380))"),"01-075")</f>
        <v>01-075</v>
      </c>
      <c r="H380" s="27" t="str">
        <f ca="1">IFERROR(__xludf.DUMMYFUNCTION("IF(I380="""","""",FILTER(DATOS!$C$4:$C$237,DATOS!$B$4:$B$237=I380))"),"USAQUEN")</f>
        <v>USAQUEN</v>
      </c>
      <c r="I380" s="28" t="s">
        <v>20</v>
      </c>
      <c r="J380" s="29" t="s">
        <v>18</v>
      </c>
      <c r="K380" s="30">
        <v>111901332</v>
      </c>
      <c r="L380" s="57"/>
    </row>
    <row r="381" spans="1:12" ht="15.75" customHeight="1">
      <c r="A381" s="214"/>
      <c r="B381" s="197"/>
      <c r="C381" s="197"/>
      <c r="D381" s="197"/>
      <c r="E381" s="197"/>
      <c r="F381" s="197"/>
      <c r="G381" s="26" t="str">
        <f ca="1">IFERROR(__xludf.DUMMYFUNCTION("IF(I381="""","""",FILTER(DATOS!$D$4:$D$237,DATOS!$B$4:$B$237=I381))"),"09-104")</f>
        <v>09-104</v>
      </c>
      <c r="H381" s="27" t="str">
        <f ca="1">IFERROR(__xludf.DUMMYFUNCTION("IF(I381="""","""",FILTER(DATOS!$C$4:$C$237,DATOS!$B$4:$B$237=I381))"),"FONTIBON")</f>
        <v>FONTIBON</v>
      </c>
      <c r="I381" s="31" t="s">
        <v>21</v>
      </c>
      <c r="J381" s="29" t="s">
        <v>18</v>
      </c>
      <c r="K381" s="30">
        <v>263335929</v>
      </c>
      <c r="L381" s="57"/>
    </row>
    <row r="382" spans="1:12" ht="15.75" customHeight="1">
      <c r="A382" s="214"/>
      <c r="B382" s="197"/>
      <c r="C382" s="197"/>
      <c r="D382" s="197"/>
      <c r="E382" s="197"/>
      <c r="F382" s="197"/>
      <c r="G382" s="26" t="str">
        <f ca="1">IFERROR(__xludf.DUMMYFUNCTION("IF(I382="""","""",FILTER(DATOS!$D$4:$D$237,DATOS!$B$4:$B$237=I382))"),"10-215")</f>
        <v>10-215</v>
      </c>
      <c r="H382" s="27" t="str">
        <f ca="1">IFERROR(__xludf.DUMMYFUNCTION("IF(I382="""","""",FILTER(DATOS!$C$4:$C$237,DATOS!$B$4:$B$237=I382))"),"ENGATIVA")</f>
        <v>ENGATIVA</v>
      </c>
      <c r="I382" s="31" t="s">
        <v>22</v>
      </c>
      <c r="J382" s="29" t="s">
        <v>18</v>
      </c>
      <c r="K382" s="30">
        <v>105324204</v>
      </c>
      <c r="L382" s="57"/>
    </row>
    <row r="383" spans="1:12" ht="15.75" customHeight="1">
      <c r="A383" s="214"/>
      <c r="B383" s="197"/>
      <c r="C383" s="197"/>
      <c r="D383" s="197"/>
      <c r="E383" s="197"/>
      <c r="F383" s="197"/>
      <c r="G383" s="26" t="str">
        <f ca="1">IFERROR(__xludf.DUMMYFUNCTION("IF(I383="""","""",FILTER(DATOS!$D$4:$D$237,DATOS!$B$4:$B$237=I383))"),"11-069")</f>
        <v>11-069</v>
      </c>
      <c r="H383" s="27" t="str">
        <f ca="1">IFERROR(__xludf.DUMMYFUNCTION("IF(I383="""","""",FILTER(DATOS!$C$4:$C$237,DATOS!$B$4:$B$237=I383))"),"SUBA")</f>
        <v>SUBA</v>
      </c>
      <c r="I383" s="31" t="s">
        <v>26</v>
      </c>
      <c r="J383" s="29" t="s">
        <v>24</v>
      </c>
      <c r="K383" s="30">
        <v>115181757</v>
      </c>
      <c r="L383" s="57"/>
    </row>
    <row r="384" spans="1:12" ht="15.75" customHeight="1">
      <c r="A384" s="214"/>
      <c r="B384" s="197"/>
      <c r="C384" s="197"/>
      <c r="D384" s="197"/>
      <c r="E384" s="197"/>
      <c r="F384" s="197"/>
      <c r="G384" s="32" t="str">
        <f ca="1">IFERROR(__xludf.DUMMYFUNCTION("IF(I384="""","""",FILTER(DATOS!$D$4:$D$237,DATOS!$B$4:$B$237=I384))"),"01-1000")</f>
        <v>01-1000</v>
      </c>
      <c r="H384" s="33" t="str">
        <f ca="1">IFERROR(__xludf.DUMMYFUNCTION("IF(I384="""","""",FILTER(DATOS!$C$4:$C$237,DATOS!$B$4:$B$237=I384))"),"USAQUEN")</f>
        <v>USAQUEN</v>
      </c>
      <c r="I384" s="31" t="s">
        <v>29</v>
      </c>
      <c r="J384" s="29" t="s">
        <v>25</v>
      </c>
      <c r="K384" s="30">
        <v>157103860</v>
      </c>
      <c r="L384" s="57"/>
    </row>
    <row r="385" spans="1:12" ht="15.75" customHeight="1">
      <c r="A385" s="214"/>
      <c r="B385" s="197"/>
      <c r="C385" s="197"/>
      <c r="D385" s="197"/>
      <c r="E385" s="197"/>
      <c r="F385" s="197"/>
      <c r="G385" s="26" t="str">
        <f ca="1">IFERROR(__xludf.DUMMYFUNCTION("IF(I385="""","""",FILTER(DATOS!$D$4:$D$237,DATOS!$B$4:$B$237=I385))"),"10-169")</f>
        <v>10-169</v>
      </c>
      <c r="H385" s="27" t="str">
        <f ca="1">IFERROR(__xludf.DUMMYFUNCTION("IF(I385="""","""",FILTER(DATOS!$C$4:$C$237,DATOS!$B$4:$B$237=I385))"),"ENGATIVA")</f>
        <v>ENGATIVA</v>
      </c>
      <c r="I385" s="31" t="s">
        <v>30</v>
      </c>
      <c r="J385" s="29" t="s">
        <v>18</v>
      </c>
      <c r="K385" s="30">
        <v>111747866</v>
      </c>
      <c r="L385" s="57"/>
    </row>
    <row r="386" spans="1:12" ht="15.75" customHeight="1">
      <c r="A386" s="214"/>
      <c r="B386" s="197"/>
      <c r="C386" s="197"/>
      <c r="D386" s="197"/>
      <c r="E386" s="197"/>
      <c r="F386" s="197"/>
      <c r="G386" s="26" t="str">
        <f ca="1">IFERROR(__xludf.DUMMYFUNCTION("IF(I386="""","""",FILTER(DATOS!$D$4:$D$237,DATOS!$B$4:$B$237=I386))"),"11-368")</f>
        <v>11-368</v>
      </c>
      <c r="H386" s="27" t="str">
        <f ca="1">IFERROR(__xludf.DUMMYFUNCTION("IF(I386="""","""",FILTER(DATOS!$C$4:$C$237,DATOS!$B$4:$B$237=I386))"),"SUBA")</f>
        <v>SUBA</v>
      </c>
      <c r="I386" s="31" t="s">
        <v>34</v>
      </c>
      <c r="J386" s="29" t="s">
        <v>18</v>
      </c>
      <c r="K386" s="30">
        <v>466992502</v>
      </c>
      <c r="L386" s="57"/>
    </row>
    <row r="387" spans="1:12" ht="15.75" customHeight="1">
      <c r="A387" s="214"/>
      <c r="B387" s="197"/>
      <c r="C387" s="197"/>
      <c r="D387" s="197"/>
      <c r="E387" s="197"/>
      <c r="F387" s="197"/>
      <c r="G387" s="26" t="str">
        <f ca="1">IFERROR(__xludf.DUMMYFUNCTION("IF(I387="""","""",FILTER(DATOS!$D$4:$D$237,DATOS!$B$4:$B$237=I387))"),"11-368")</f>
        <v>11-368</v>
      </c>
      <c r="H387" s="27" t="str">
        <f ca="1">IFERROR(__xludf.DUMMYFUNCTION("IF(I387="""","""",FILTER(DATOS!$C$4:$C$237,DATOS!$B$4:$B$237=I387))"),"SUBA")</f>
        <v>SUBA</v>
      </c>
      <c r="I387" s="31" t="s">
        <v>35</v>
      </c>
      <c r="J387" s="29" t="s">
        <v>18</v>
      </c>
      <c r="K387" s="30">
        <v>521707492</v>
      </c>
      <c r="L387" s="57"/>
    </row>
    <row r="388" spans="1:12" ht="15.75" customHeight="1">
      <c r="A388" s="214"/>
      <c r="B388" s="197"/>
      <c r="C388" s="197"/>
      <c r="D388" s="197"/>
      <c r="E388" s="197"/>
      <c r="F388" s="197"/>
      <c r="G388" s="26" t="str">
        <f ca="1">IFERROR(__xludf.DUMMYFUNCTION("IF(I388="""","""",FILTER(DATOS!$D$4:$D$237,DATOS!$B$4:$B$237=I388))"),"12-023")</f>
        <v>12-023</v>
      </c>
      <c r="H388" s="27" t="str">
        <f ca="1">IFERROR(__xludf.DUMMYFUNCTION("IF(I388="""","""",FILTER(DATOS!$C$4:$C$237,DATOS!$B$4:$B$237=I388))"),"BARRIOS UNIDOS")</f>
        <v>BARRIOS UNIDOS</v>
      </c>
      <c r="I388" s="34" t="s">
        <v>36</v>
      </c>
      <c r="J388" s="29" t="s">
        <v>18</v>
      </c>
      <c r="K388" s="30">
        <v>105324204</v>
      </c>
      <c r="L388" s="57"/>
    </row>
    <row r="389" spans="1:12" ht="15.75" customHeight="1">
      <c r="A389" s="214"/>
      <c r="B389" s="197"/>
      <c r="C389" s="197"/>
      <c r="D389" s="197"/>
      <c r="E389" s="197"/>
      <c r="F389" s="197"/>
      <c r="G389" s="26" t="str">
        <f ca="1">IFERROR(__xludf.DUMMYFUNCTION("IF(I389="""","""",FILTER(DATOS!$D$4:$D$237,DATOS!$B$4:$B$237=I389))"),"10-171")</f>
        <v>10-171</v>
      </c>
      <c r="H389" s="27" t="str">
        <f ca="1">IFERROR(__xludf.DUMMYFUNCTION("IF(I389="""","""",FILTER(DATOS!$C$4:$C$237,DATOS!$B$4:$B$237=I389))"),"ENGATIVA")</f>
        <v>ENGATIVA</v>
      </c>
      <c r="I389" s="31" t="s">
        <v>37</v>
      </c>
      <c r="J389" s="29" t="s">
        <v>18</v>
      </c>
      <c r="K389" s="30">
        <v>419577746</v>
      </c>
      <c r="L389" s="57"/>
    </row>
    <row r="390" spans="1:12" ht="15.75" customHeight="1">
      <c r="A390" s="214"/>
      <c r="B390" s="197"/>
      <c r="C390" s="197"/>
      <c r="D390" s="197"/>
      <c r="E390" s="197"/>
      <c r="F390" s="197"/>
      <c r="G390" s="26" t="str">
        <f ca="1">IFERROR(__xludf.DUMMYFUNCTION("IF(I390="""","""",FILTER(DATOS!$D$4:$D$237,DATOS!$B$4:$B$237=I390))"),"10-311")</f>
        <v>10-311</v>
      </c>
      <c r="H390" s="27" t="str">
        <f ca="1">IFERROR(__xludf.DUMMYFUNCTION("IF(I390="""","""",FILTER(DATOS!$C$4:$C$237,DATOS!$B$4:$B$237=I390))"),"ENGATIVA")</f>
        <v>ENGATIVA</v>
      </c>
      <c r="I390" s="31" t="s">
        <v>38</v>
      </c>
      <c r="J390" s="29" t="s">
        <v>18</v>
      </c>
      <c r="K390" s="30">
        <v>682707162</v>
      </c>
      <c r="L390" s="57"/>
    </row>
    <row r="391" spans="1:12" ht="15.75" customHeight="1">
      <c r="A391" s="214"/>
      <c r="B391" s="197"/>
      <c r="C391" s="197"/>
      <c r="D391" s="197"/>
      <c r="E391" s="197"/>
      <c r="F391" s="197"/>
      <c r="G391" s="26" t="str">
        <f ca="1">IFERROR(__xludf.DUMMYFUNCTION("IF(I391="""","""",FILTER(DATOS!$D$4:$D$237,DATOS!$B$4:$B$237=I391))"),"11-205")</f>
        <v>11-205</v>
      </c>
      <c r="H391" s="27" t="str">
        <f ca="1">IFERROR(__xludf.DUMMYFUNCTION("IF(I391="""","""",FILTER(DATOS!$C$4:$C$237,DATOS!$B$4:$B$237=I391))"),"SUBA")</f>
        <v>SUBA</v>
      </c>
      <c r="I391" s="31" t="s">
        <v>39</v>
      </c>
      <c r="J391" s="29" t="s">
        <v>18</v>
      </c>
      <c r="K391" s="30">
        <v>253478376</v>
      </c>
      <c r="L391" s="57"/>
    </row>
    <row r="392" spans="1:12" ht="15.75" customHeight="1">
      <c r="A392" s="214"/>
      <c r="B392" s="197"/>
      <c r="C392" s="197"/>
      <c r="D392" s="197"/>
      <c r="E392" s="197"/>
      <c r="F392" s="197"/>
      <c r="G392" s="26" t="str">
        <f ca="1">IFERROR(__xludf.DUMMYFUNCTION("IF(I392="""","""",FILTER(DATOS!$D$4:$D$237,DATOS!$B$4:$B$237=I392))"),"10-223")</f>
        <v>10-223</v>
      </c>
      <c r="H392" s="27" t="str">
        <f ca="1">IFERROR(__xludf.DUMMYFUNCTION("IF(I392="""","""",FILTER(DATOS!$C$4:$C$237,DATOS!$B$4:$B$237=I392))"),"ENGATIVA")</f>
        <v>ENGATIVA</v>
      </c>
      <c r="I392" s="31" t="s">
        <v>41</v>
      </c>
      <c r="J392" s="29" t="s">
        <v>18</v>
      </c>
      <c r="K392" s="30">
        <v>213580422</v>
      </c>
      <c r="L392" s="57"/>
    </row>
    <row r="393" spans="1:12" ht="15.75" customHeight="1">
      <c r="A393" s="214"/>
      <c r="B393" s="197"/>
      <c r="C393" s="197"/>
      <c r="D393" s="197"/>
      <c r="E393" s="197"/>
      <c r="F393" s="197"/>
      <c r="G393" s="26" t="str">
        <f ca="1">IFERROR(__xludf.DUMMYFUNCTION("IF(I393="""","""",FILTER(DATOS!$D$4:$D$237,DATOS!$B$4:$B$237=I393))"),"11-204")</f>
        <v>11-204</v>
      </c>
      <c r="H393" s="27" t="str">
        <f ca="1">IFERROR(__xludf.DUMMYFUNCTION("IF(I393="""","""",FILTER(DATOS!$C$4:$C$237,DATOS!$B$4:$B$237=I393))"),"SUBA")</f>
        <v>SUBA</v>
      </c>
      <c r="I393" s="31" t="s">
        <v>42</v>
      </c>
      <c r="J393" s="29" t="s">
        <v>18</v>
      </c>
      <c r="K393" s="30">
        <v>207927208</v>
      </c>
      <c r="L393" s="57"/>
    </row>
    <row r="394" spans="1:12" ht="15.75" customHeight="1">
      <c r="A394" s="214"/>
      <c r="B394" s="197"/>
      <c r="C394" s="197"/>
      <c r="D394" s="197"/>
      <c r="E394" s="197"/>
      <c r="F394" s="197"/>
      <c r="G394" s="26" t="str">
        <f ca="1">IFERROR(__xludf.DUMMYFUNCTION("IF(I394="""","""",FILTER(DATOS!$D$4:$D$237,DATOS!$B$4:$B$237=I394))"),"11-204")</f>
        <v>11-204</v>
      </c>
      <c r="H394" s="27" t="str">
        <f ca="1">IFERROR(__xludf.DUMMYFUNCTION("IF(I394="""","""",FILTER(DATOS!$C$4:$C$237,DATOS!$B$4:$B$237=I394))"),"SUBA")</f>
        <v>SUBA</v>
      </c>
      <c r="I394" s="31" t="s">
        <v>68</v>
      </c>
      <c r="J394" s="29" t="s">
        <v>18</v>
      </c>
      <c r="K394" s="30">
        <v>699257898</v>
      </c>
      <c r="L394" s="57"/>
    </row>
    <row r="395" spans="1:12" ht="15.75" customHeight="1">
      <c r="A395" s="214"/>
      <c r="B395" s="197"/>
      <c r="C395" s="197"/>
      <c r="D395" s="197"/>
      <c r="E395" s="197"/>
      <c r="F395" s="197"/>
      <c r="G395" s="26" t="str">
        <f ca="1">IFERROR(__xludf.DUMMYFUNCTION("IF(I395="""","""",FILTER(DATOS!$D$4:$D$237,DATOS!$B$4:$B$237=I395))"),"10-531")</f>
        <v>10-531</v>
      </c>
      <c r="H395" s="27" t="str">
        <f ca="1">IFERROR(__xludf.DUMMYFUNCTION("IF(I395="""","""",FILTER(DATOS!$C$4:$C$237,DATOS!$B$4:$B$237=I395))"),"ENGATIVA")</f>
        <v>ENGATIVA</v>
      </c>
      <c r="I395" s="31" t="s">
        <v>52</v>
      </c>
      <c r="J395" s="29" t="s">
        <v>18</v>
      </c>
      <c r="K395" s="30">
        <v>159792924</v>
      </c>
      <c r="L395" s="57"/>
    </row>
    <row r="396" spans="1:12" ht="15.75" customHeight="1">
      <c r="A396" s="214"/>
      <c r="B396" s="197"/>
      <c r="C396" s="197"/>
      <c r="D396" s="197"/>
      <c r="E396" s="197"/>
      <c r="F396" s="197"/>
      <c r="G396" s="26" t="str">
        <f ca="1">IFERROR(__xludf.DUMMYFUNCTION("IF(I396="""","""",FILTER(DATOS!$D$4:$D$237,DATOS!$B$4:$B$237=I396))"),"10-234")</f>
        <v>10-234</v>
      </c>
      <c r="H396" s="27" t="str">
        <f ca="1">IFERROR(__xludf.DUMMYFUNCTION("IF(I396="""","""",FILTER(DATOS!$C$4:$C$237,DATOS!$B$4:$B$237=I396))"),"ENGATIVA")</f>
        <v>ENGATIVA</v>
      </c>
      <c r="I396" s="31" t="s">
        <v>56</v>
      </c>
      <c r="J396" s="29" t="s">
        <v>18</v>
      </c>
      <c r="K396" s="30">
        <v>269251602</v>
      </c>
      <c r="L396" s="57"/>
    </row>
    <row r="397" spans="1:12" ht="15.75" customHeight="1">
      <c r="A397" s="214"/>
      <c r="B397" s="197"/>
      <c r="C397" s="197"/>
      <c r="D397" s="197"/>
      <c r="E397" s="197"/>
      <c r="F397" s="197"/>
      <c r="G397" s="26" t="str">
        <f ca="1">IFERROR(__xludf.DUMMYFUNCTION("IF(I397="""","""",FILTER(DATOS!$D$4:$D$237,DATOS!$B$4:$B$237=I397))"),"09-111")</f>
        <v>09-111</v>
      </c>
      <c r="H397" s="27" t="str">
        <f ca="1">IFERROR(__xludf.DUMMYFUNCTION("IF(I397="""","""",FILTER(DATOS!$C$4:$C$237,DATOS!$B$4:$B$237=I397))"),"FONTIBON")</f>
        <v>FONTIBON</v>
      </c>
      <c r="I397" s="31" t="s">
        <v>57</v>
      </c>
      <c r="J397" s="29" t="s">
        <v>18</v>
      </c>
      <c r="K397" s="30">
        <v>253868724</v>
      </c>
      <c r="L397" s="57"/>
    </row>
    <row r="398" spans="1:12" ht="15.75" customHeight="1">
      <c r="A398" s="214"/>
      <c r="B398" s="197"/>
      <c r="C398" s="197"/>
      <c r="D398" s="197"/>
      <c r="E398" s="197"/>
      <c r="F398" s="197"/>
      <c r="G398" s="26" t="str">
        <f ca="1">IFERROR(__xludf.DUMMYFUNCTION("IF(I398="""","""",FILTER(DATOS!$D$4:$D$237,DATOS!$B$4:$B$237=I398))"),"01-023")</f>
        <v>01-023</v>
      </c>
      <c r="H398" s="27" t="str">
        <f ca="1">IFERROR(__xludf.DUMMYFUNCTION("IF(I398="""","""",FILTER(DATOS!$C$4:$C$237,DATOS!$B$4:$B$237=I398))"),"USAQUEN")</f>
        <v>USAQUEN</v>
      </c>
      <c r="I398" s="31" t="s">
        <v>58</v>
      </c>
      <c r="J398" s="29" t="s">
        <v>18</v>
      </c>
      <c r="K398" s="30">
        <v>105324204</v>
      </c>
      <c r="L398" s="57"/>
    </row>
    <row r="399" spans="1:12" ht="15.75" customHeight="1">
      <c r="A399" s="214"/>
      <c r="B399" s="197"/>
      <c r="C399" s="197"/>
      <c r="D399" s="197"/>
      <c r="E399" s="197"/>
      <c r="F399" s="197"/>
      <c r="G399" s="26" t="str">
        <f ca="1">IFERROR(__xludf.DUMMYFUNCTION("IF(I399="""","""",FILTER(DATOS!$D$4:$D$237,DATOS!$B$4:$B$237=I399))"),"11-212")</f>
        <v>11-212</v>
      </c>
      <c r="H399" s="27" t="str">
        <f ca="1">IFERROR(__xludf.DUMMYFUNCTION("IF(I399="""","""",FILTER(DATOS!$C$4:$C$237,DATOS!$B$4:$B$237=I399))"),"SUBA")</f>
        <v>SUBA</v>
      </c>
      <c r="I399" s="34" t="s">
        <v>27</v>
      </c>
      <c r="J399" s="29" t="s">
        <v>18</v>
      </c>
      <c r="K399" s="30">
        <v>105324204</v>
      </c>
      <c r="L399" s="57"/>
    </row>
    <row r="400" spans="1:12" ht="15.75" customHeight="1">
      <c r="A400" s="214"/>
      <c r="B400" s="197"/>
      <c r="C400" s="197"/>
      <c r="D400" s="197"/>
      <c r="E400" s="197"/>
      <c r="F400" s="197"/>
      <c r="G400" s="26" t="str">
        <f ca="1">IFERROR(__xludf.DUMMYFUNCTION("IF(I400="""","""",FILTER(DATOS!$D$4:$D$237,DATOS!$B$4:$B$237=I400))"),"10-018")</f>
        <v>10-018</v>
      </c>
      <c r="H400" s="27" t="str">
        <f ca="1">IFERROR(__xludf.DUMMYFUNCTION("IF(I400="""","""",FILTER(DATOS!$C$4:$C$237,DATOS!$B$4:$B$237=I400))"),"ENGATIVA")</f>
        <v>ENGATIVA</v>
      </c>
      <c r="I400" s="31" t="s">
        <v>64</v>
      </c>
      <c r="J400" s="29" t="s">
        <v>18</v>
      </c>
      <c r="K400" s="30">
        <v>105324204</v>
      </c>
      <c r="L400" s="57"/>
    </row>
    <row r="401" spans="1:12" ht="15.75" customHeight="1">
      <c r="A401" s="214"/>
      <c r="B401" s="197"/>
      <c r="C401" s="197"/>
      <c r="D401" s="197"/>
      <c r="E401" s="197"/>
      <c r="F401" s="197"/>
      <c r="G401" s="26" t="str">
        <f ca="1">IFERROR(__xludf.DUMMYFUNCTION("IF(I401="""","""",FILTER(DATOS!$D$4:$D$237,DATOS!$B$4:$B$237=I401))"),"10-102")</f>
        <v>10-102</v>
      </c>
      <c r="H401" s="27" t="str">
        <f ca="1">IFERROR(__xludf.DUMMYFUNCTION("IF(I401="""","""",FILTER(DATOS!$C$4:$C$237,DATOS!$B$4:$B$237=I401))"),"ENGATIVA")</f>
        <v>ENGATIVA</v>
      </c>
      <c r="I401" s="31" t="s">
        <v>65</v>
      </c>
      <c r="J401" s="29" t="s">
        <v>18</v>
      </c>
      <c r="K401" s="30">
        <v>105324204</v>
      </c>
      <c r="L401" s="57"/>
    </row>
    <row r="402" spans="1:12" ht="15.75" customHeight="1">
      <c r="A402" s="214"/>
      <c r="B402" s="197"/>
      <c r="C402" s="197"/>
      <c r="D402" s="197"/>
      <c r="E402" s="197"/>
      <c r="F402" s="197"/>
      <c r="G402" s="26" t="str">
        <f ca="1">IFERROR(__xludf.DUMMYFUNCTION("IF(I402="""","""",FILTER(DATOS!$D$4:$D$237,DATOS!$B$4:$B$237=I402))"),"10-192")</f>
        <v>10-192</v>
      </c>
      <c r="H402" s="27" t="str">
        <f ca="1">IFERROR(__xludf.DUMMYFUNCTION("IF(I402="""","""",FILTER(DATOS!$C$4:$C$237,DATOS!$B$4:$B$237=I402))"),"ENGATIVA")</f>
        <v>ENGATIVA</v>
      </c>
      <c r="I402" s="31" t="s">
        <v>33</v>
      </c>
      <c r="J402" s="29" t="s">
        <v>18</v>
      </c>
      <c r="K402" s="30">
        <v>105324204</v>
      </c>
      <c r="L402" s="57"/>
    </row>
    <row r="403" spans="1:12" ht="15.75" customHeight="1">
      <c r="A403" s="214"/>
      <c r="B403" s="197"/>
      <c r="C403" s="197"/>
      <c r="D403" s="197"/>
      <c r="E403" s="197"/>
      <c r="F403" s="197"/>
      <c r="G403" s="26" t="str">
        <f ca="1">IFERROR(__xludf.DUMMYFUNCTION("IF(I403="""","""",FILTER(DATOS!$D$4:$D$237,DATOS!$B$4:$B$237=I403))"),"13-122")</f>
        <v>13-122</v>
      </c>
      <c r="H403" s="27" t="str">
        <f ca="1">IFERROR(__xludf.DUMMYFUNCTION("IF(I403="""","""",FILTER(DATOS!$C$4:$C$237,DATOS!$B$4:$B$237=I403))"),"TEUSAQUILLO")</f>
        <v>TEUSAQUILLO</v>
      </c>
      <c r="I403" s="35" t="s">
        <v>32</v>
      </c>
      <c r="J403" s="29" t="s">
        <v>18</v>
      </c>
      <c r="K403" s="30">
        <v>380610289</v>
      </c>
      <c r="L403" s="57"/>
    </row>
    <row r="404" spans="1:12" ht="15.75" customHeight="1">
      <c r="A404" s="214"/>
      <c r="B404" s="197"/>
      <c r="C404" s="197"/>
      <c r="D404" s="197"/>
      <c r="E404" s="197"/>
      <c r="F404" s="197"/>
      <c r="G404" s="26" t="str">
        <f ca="1">IFERROR(__xludf.DUMMYFUNCTION("IF(I404="""","""",FILTER(DATOS!$D$4:$D$237,DATOS!$B$4:$B$237=I404))"),"13-122")</f>
        <v>13-122</v>
      </c>
      <c r="H404" s="27" t="str">
        <f ca="1">IFERROR(__xludf.DUMMYFUNCTION("IF(I404="""","""",FILTER(DATOS!$C$4:$C$237,DATOS!$B$4:$B$237=I404))"),"TEUSAQUILLO")</f>
        <v>TEUSAQUILLO</v>
      </c>
      <c r="I404" s="31" t="s">
        <v>70</v>
      </c>
      <c r="J404" s="29" t="s">
        <v>18</v>
      </c>
      <c r="K404" s="30">
        <v>16775997</v>
      </c>
      <c r="L404" s="57"/>
    </row>
    <row r="405" spans="1:12" ht="15.75" customHeight="1">
      <c r="A405" s="214"/>
      <c r="B405" s="197"/>
      <c r="C405" s="197"/>
      <c r="D405" s="197"/>
      <c r="E405" s="197"/>
      <c r="F405" s="197"/>
      <c r="G405" s="26" t="str">
        <f ca="1">IFERROR(__xludf.DUMMYFUNCTION("IF(I405="""","""",FILTER(DATOS!$D$4:$D$237,DATOS!$B$4:$B$237=I405))"),"13-122")</f>
        <v>13-122</v>
      </c>
      <c r="H405" s="27" t="str">
        <f ca="1">IFERROR(__xludf.DUMMYFUNCTION("IF(I405="""","""",FILTER(DATOS!$C$4:$C$237,DATOS!$B$4:$B$237=I405))"),"TEUSAQUILLO")</f>
        <v>TEUSAQUILLO</v>
      </c>
      <c r="I405" s="34" t="s">
        <v>69</v>
      </c>
      <c r="J405" s="36" t="s">
        <v>18</v>
      </c>
      <c r="K405" s="30">
        <v>89934302</v>
      </c>
      <c r="L405" s="57"/>
    </row>
    <row r="406" spans="1:12" ht="15.75" customHeight="1">
      <c r="A406" s="214"/>
      <c r="B406" s="197"/>
      <c r="C406" s="197"/>
      <c r="D406" s="197"/>
      <c r="E406" s="197"/>
      <c r="F406" s="197"/>
      <c r="G406" s="26" t="str">
        <f ca="1">IFERROR(__xludf.DUMMYFUNCTION("IF(I406="""","""",FILTER(DATOS!$D$4:$D$237,DATOS!$B$4:$B$237=I406))"),"13-123")</f>
        <v>13-123</v>
      </c>
      <c r="H406" s="27" t="str">
        <f ca="1">IFERROR(__xludf.DUMMYFUNCTION("IF(I406="""","""",FILTER(DATOS!$C$4:$C$237,DATOS!$B$4:$B$237=I406))"),"TEUSAQUILLO")</f>
        <v>TEUSAQUILLO</v>
      </c>
      <c r="I406" s="31" t="s">
        <v>23</v>
      </c>
      <c r="J406" s="29" t="s">
        <v>166</v>
      </c>
      <c r="K406" s="30">
        <v>78299018</v>
      </c>
      <c r="L406" s="57"/>
    </row>
    <row r="407" spans="1:12" ht="15.75" customHeight="1">
      <c r="A407" s="214"/>
      <c r="B407" s="197"/>
      <c r="C407" s="197"/>
      <c r="D407" s="197"/>
      <c r="E407" s="197"/>
      <c r="F407" s="197"/>
      <c r="G407" s="26" t="str">
        <f ca="1">IFERROR(__xludf.DUMMYFUNCTION("IF(I407="""","""",FILTER(DATOS!$D$4:$D$237,DATOS!$B$4:$B$237=I407))"),"13-129")</f>
        <v>13-129</v>
      </c>
      <c r="H407" s="27" t="str">
        <f ca="1">IFERROR(__xludf.DUMMYFUNCTION("IF(I407="""","""",FILTER(DATOS!$C$4:$C$237,DATOS!$B$4:$B$237=I407))"),"TEUSAQUILLO")</f>
        <v>TEUSAQUILLO</v>
      </c>
      <c r="I407" s="31" t="s">
        <v>44</v>
      </c>
      <c r="J407" s="29" t="s">
        <v>18</v>
      </c>
      <c r="K407" s="30">
        <v>112139738</v>
      </c>
      <c r="L407" s="57"/>
    </row>
    <row r="408" spans="1:12" ht="15.75" customHeight="1">
      <c r="A408" s="214"/>
      <c r="B408" s="197"/>
      <c r="C408" s="197"/>
      <c r="D408" s="197"/>
      <c r="E408" s="197"/>
      <c r="F408" s="197"/>
      <c r="G408" s="26" t="str">
        <f ca="1">IFERROR(__xludf.DUMMYFUNCTION("IF(I408="""","""",FILTER(DATOS!$D$4:$D$237,DATOS!$B$4:$B$237=I408))"),"13-123")</f>
        <v>13-123</v>
      </c>
      <c r="H408" s="27" t="str">
        <f ca="1">IFERROR(__xludf.DUMMYFUNCTION("IF(I408="""","""",FILTER(DATOS!$C$4:$C$237,DATOS!$B$4:$B$237=I408))"),"TEUSAQUILLO")</f>
        <v>TEUSAQUILLO</v>
      </c>
      <c r="I408" s="31" t="s">
        <v>23</v>
      </c>
      <c r="J408" s="29" t="s">
        <v>18</v>
      </c>
      <c r="K408" s="30">
        <v>51245594</v>
      </c>
      <c r="L408" s="57"/>
    </row>
    <row r="409" spans="1:12" ht="15.75" customHeight="1">
      <c r="A409" s="214"/>
      <c r="B409" s="197"/>
      <c r="C409" s="197"/>
      <c r="D409" s="197"/>
      <c r="E409" s="197"/>
      <c r="F409" s="197"/>
      <c r="G409" s="26" t="str">
        <f ca="1">IFERROR(__xludf.DUMMYFUNCTION("IF(I409="""","""",FILTER(DATOS!$D$4:$D$237,DATOS!$B$4:$B$237=I409))"),"12-092")</f>
        <v>12-092</v>
      </c>
      <c r="H409" s="27" t="str">
        <f ca="1">IFERROR(__xludf.DUMMYFUNCTION("IF(I409="""","""",FILTER(DATOS!$C$4:$C$237,DATOS!$B$4:$B$237=I409))"),"BARRIOS UNIDOS")</f>
        <v>BARRIOS UNIDOS</v>
      </c>
      <c r="I409" s="31" t="s">
        <v>31</v>
      </c>
      <c r="J409" s="29" t="s">
        <v>18</v>
      </c>
      <c r="K409" s="30">
        <v>451253017</v>
      </c>
      <c r="L409" s="57"/>
    </row>
    <row r="410" spans="1:12" ht="15.75" customHeight="1">
      <c r="A410" s="214"/>
      <c r="B410" s="197"/>
      <c r="C410" s="197"/>
      <c r="D410" s="197"/>
      <c r="E410" s="197"/>
      <c r="F410" s="197"/>
      <c r="G410" s="32" t="str">
        <f ca="1">IFERROR(__xludf.DUMMYFUNCTION("IF(I410="""","""",FILTER(DATOS!$D$4:$D$237,DATOS!$B$4:$B$237=I410))"),"12-1000")</f>
        <v>12-1000</v>
      </c>
      <c r="H410" s="33" t="str">
        <f ca="1">IFERROR(__xludf.DUMMYFUNCTION("IF(I410="""","""",FILTER(DATOS!$C$4:$C$237,DATOS!$B$4:$B$237=I410))"),"BARRIOS UNIDOS")</f>
        <v>BARRIOS UNIDOS</v>
      </c>
      <c r="I410" s="34" t="s">
        <v>28</v>
      </c>
      <c r="J410" s="29" t="s">
        <v>18</v>
      </c>
      <c r="K410" s="30">
        <v>458436090</v>
      </c>
      <c r="L410" s="57"/>
    </row>
    <row r="411" spans="1:12" ht="15.75" customHeight="1">
      <c r="A411" s="214"/>
      <c r="B411" s="197"/>
      <c r="C411" s="197"/>
      <c r="D411" s="197"/>
      <c r="E411" s="197"/>
      <c r="F411" s="197"/>
      <c r="G411" s="26" t="str">
        <f ca="1">IFERROR(__xludf.DUMMYFUNCTION("IF(I411="""","""",FILTER(DATOS!$D$4:$D$237,DATOS!$B$4:$B$237=I411))"),"12-125")</f>
        <v>12-125</v>
      </c>
      <c r="H411" s="27" t="str">
        <f ca="1">IFERROR(__xludf.DUMMYFUNCTION("IF(I411="""","""",FILTER(DATOS!$C$4:$C$237,DATOS!$B$4:$B$237=I411))"),"BARRIOS UNIDOS")</f>
        <v>BARRIOS UNIDOS</v>
      </c>
      <c r="I411" s="31" t="s">
        <v>47</v>
      </c>
      <c r="J411" s="29" t="s">
        <v>18</v>
      </c>
      <c r="K411" s="30">
        <v>151265720</v>
      </c>
      <c r="L411" s="57"/>
    </row>
    <row r="412" spans="1:12" ht="15.75" customHeight="1">
      <c r="A412" s="214"/>
      <c r="B412" s="197"/>
      <c r="C412" s="197"/>
      <c r="D412" s="197"/>
      <c r="E412" s="197"/>
      <c r="F412" s="197"/>
      <c r="G412" s="26" t="str">
        <f ca="1">IFERROR(__xludf.DUMMYFUNCTION("IF(I412="""","""",FILTER(DATOS!$D$4:$D$237,DATOS!$B$4:$B$237=I412))"),"12-141")</f>
        <v>12-141</v>
      </c>
      <c r="H412" s="27" t="str">
        <f ca="1">IFERROR(__xludf.DUMMYFUNCTION("IF(I412="""","""",FILTER(DATOS!$C$4:$C$237,DATOS!$B$4:$B$237=I412))"),"BARRIOS UNIDOS")</f>
        <v>BARRIOS UNIDOS</v>
      </c>
      <c r="I412" s="31" t="s">
        <v>48</v>
      </c>
      <c r="J412" s="29" t="s">
        <v>54</v>
      </c>
      <c r="K412" s="30">
        <v>204214713</v>
      </c>
      <c r="L412" s="57"/>
    </row>
    <row r="413" spans="1:12" ht="15.75" customHeight="1">
      <c r="A413" s="214"/>
      <c r="B413" s="197"/>
      <c r="C413" s="197"/>
      <c r="D413" s="197"/>
      <c r="E413" s="197"/>
      <c r="F413" s="197"/>
      <c r="G413" s="26" t="str">
        <f ca="1">IFERROR(__xludf.DUMMYFUNCTION("IF(I413="""","""",FILTER(DATOS!$D$4:$D$237,DATOS!$B$4:$B$237=I413))"),"12-091")</f>
        <v>12-091</v>
      </c>
      <c r="H413" s="27" t="str">
        <f ca="1">IFERROR(__xludf.DUMMYFUNCTION("IF(I413="""","""",FILTER(DATOS!$C$4:$C$237,DATOS!$B$4:$B$237=I413))"),"BARRIOS UNIDOS")</f>
        <v>BARRIOS UNIDOS</v>
      </c>
      <c r="I413" s="31" t="s">
        <v>53</v>
      </c>
      <c r="J413" s="29" t="s">
        <v>167</v>
      </c>
      <c r="K413" s="30">
        <v>518664459</v>
      </c>
      <c r="L413" s="57"/>
    </row>
    <row r="414" spans="1:12" ht="15.75" customHeight="1">
      <c r="A414" s="214"/>
      <c r="B414" s="197"/>
      <c r="C414" s="197"/>
      <c r="D414" s="197"/>
      <c r="E414" s="197"/>
      <c r="F414" s="197"/>
      <c r="G414" s="26" t="str">
        <f ca="1">IFERROR(__xludf.DUMMYFUNCTION("IF(I414="""","""",FILTER(DATOS!$D$4:$D$237,DATOS!$B$4:$B$237=I414))"),"12-091")</f>
        <v>12-091</v>
      </c>
      <c r="H414" s="27" t="str">
        <f ca="1">IFERROR(__xludf.DUMMYFUNCTION("IF(I414="""","""",FILTER(DATOS!$C$4:$C$237,DATOS!$B$4:$B$237=I414))"),"BARRIOS UNIDOS")</f>
        <v>BARRIOS UNIDOS</v>
      </c>
      <c r="I414" s="31" t="s">
        <v>53</v>
      </c>
      <c r="J414" s="29" t="s">
        <v>168</v>
      </c>
      <c r="K414" s="30">
        <v>154115797</v>
      </c>
      <c r="L414" s="57"/>
    </row>
    <row r="415" spans="1:12" ht="15.75" customHeight="1">
      <c r="A415" s="214"/>
      <c r="B415" s="197"/>
      <c r="C415" s="197"/>
      <c r="D415" s="197"/>
      <c r="E415" s="197"/>
      <c r="F415" s="197"/>
      <c r="G415" s="26" t="str">
        <f ca="1">IFERROR(__xludf.DUMMYFUNCTION("IF(I415="""","""",FILTER(DATOS!$D$4:$D$237,DATOS!$B$4:$B$237=I415))"),"13-126")</f>
        <v>13-126</v>
      </c>
      <c r="H415" s="27" t="str">
        <f ca="1">IFERROR(__xludf.DUMMYFUNCTION("IF(I415="""","""",FILTER(DATOS!$C$4:$C$237,DATOS!$B$4:$B$237=I415))"),"TEUSAQUILLO")</f>
        <v>TEUSAQUILLO</v>
      </c>
      <c r="I415" s="31" t="s">
        <v>169</v>
      </c>
      <c r="J415" s="29" t="s">
        <v>18</v>
      </c>
      <c r="K415" s="30">
        <v>78299018</v>
      </c>
      <c r="L415" s="57"/>
    </row>
    <row r="416" spans="1:12" ht="15.75" customHeight="1">
      <c r="A416" s="214"/>
      <c r="B416" s="197"/>
      <c r="C416" s="197"/>
      <c r="D416" s="197"/>
      <c r="E416" s="197"/>
      <c r="F416" s="197"/>
      <c r="G416" s="26" t="str">
        <f ca="1">IFERROR(__xludf.DUMMYFUNCTION("IF(I416="""","""",FILTER(DATOS!$D$4:$D$237,DATOS!$B$4:$B$237=I416))"),"12-117")</f>
        <v>12-117</v>
      </c>
      <c r="H416" s="27" t="str">
        <f ca="1">IFERROR(__xludf.DUMMYFUNCTION("IF(I416="""","""",FILTER(DATOS!$C$4:$C$237,DATOS!$B$4:$B$237=I416))"),"BARRIOS UNIDOS")</f>
        <v>BARRIOS UNIDOS</v>
      </c>
      <c r="I416" s="34" t="s">
        <v>50</v>
      </c>
      <c r="J416" s="29" t="s">
        <v>18</v>
      </c>
      <c r="K416" s="30">
        <v>108174281</v>
      </c>
      <c r="L416" s="57"/>
    </row>
    <row r="417" spans="1:12" ht="15.75" customHeight="1">
      <c r="A417" s="214"/>
      <c r="B417" s="197"/>
      <c r="C417" s="197"/>
      <c r="D417" s="197"/>
      <c r="E417" s="197"/>
      <c r="F417" s="197"/>
      <c r="G417" s="26" t="str">
        <f ca="1">IFERROR(__xludf.DUMMYFUNCTION("IF(I417="""","""",FILTER(DATOS!$D$4:$D$237,DATOS!$B$4:$B$237=I417))"),"10-290")</f>
        <v>10-290</v>
      </c>
      <c r="H417" s="27" t="str">
        <f ca="1">IFERROR(__xludf.DUMMYFUNCTION("IF(I417="""","""",FILTER(DATOS!$C$4:$C$237,DATOS!$B$4:$B$237=I417))"),"ENGATIVA")</f>
        <v>ENGATIVA</v>
      </c>
      <c r="I417" s="31" t="s">
        <v>62</v>
      </c>
      <c r="J417" s="29" t="s">
        <v>18</v>
      </c>
      <c r="K417" s="30">
        <v>722300841</v>
      </c>
      <c r="L417" s="57"/>
    </row>
    <row r="418" spans="1:12" ht="15.75" customHeight="1">
      <c r="A418" s="214"/>
      <c r="B418" s="197"/>
      <c r="C418" s="197"/>
      <c r="D418" s="197"/>
      <c r="E418" s="197"/>
      <c r="F418" s="197"/>
      <c r="G418" s="26" t="str">
        <f ca="1">IFERROR(__xludf.DUMMYFUNCTION("IF(I418="""","""",FILTER(DATOS!$D$4:$D$237,DATOS!$B$4:$B$237=I418))"),"13-089")</f>
        <v>13-089</v>
      </c>
      <c r="H418" s="27" t="str">
        <f ca="1">IFERROR(__xludf.DUMMYFUNCTION("IF(I418="""","""",FILTER(DATOS!$C$4:$C$237,DATOS!$B$4:$B$237=I418))"),"TEUSAQUILLO")</f>
        <v>TEUSAQUILLO</v>
      </c>
      <c r="I418" s="34" t="s">
        <v>59</v>
      </c>
      <c r="J418" s="29" t="s">
        <v>18</v>
      </c>
      <c r="K418" s="30">
        <v>820032263</v>
      </c>
      <c r="L418" s="57"/>
    </row>
    <row r="419" spans="1:12" ht="15.75" customHeight="1">
      <c r="A419" s="214"/>
      <c r="B419" s="197"/>
      <c r="C419" s="197"/>
      <c r="D419" s="197"/>
      <c r="E419" s="197"/>
      <c r="F419" s="197"/>
      <c r="G419" s="26" t="str">
        <f ca="1">IFERROR(__xludf.DUMMYFUNCTION("IF(I419="""","""",FILTER(DATOS!$D$4:$D$237,DATOS!$B$4:$B$237=I419))"),"13-088")</f>
        <v>13-088</v>
      </c>
      <c r="H419" s="27" t="str">
        <f ca="1">IFERROR(__xludf.DUMMYFUNCTION("IF(I419="""","""",FILTER(DATOS!$C$4:$C$237,DATOS!$B$4:$B$237=I419))"),"TEUSAQUILLO")</f>
        <v>TEUSAQUILLO</v>
      </c>
      <c r="I419" s="37" t="s">
        <v>66</v>
      </c>
      <c r="J419" s="36" t="s">
        <v>18</v>
      </c>
      <c r="K419" s="30">
        <v>117587714</v>
      </c>
      <c r="L419" s="57"/>
    </row>
    <row r="420" spans="1:12" ht="15.75" customHeight="1">
      <c r="A420" s="214"/>
      <c r="B420" s="197"/>
      <c r="C420" s="197"/>
      <c r="D420" s="197"/>
      <c r="E420" s="197"/>
      <c r="F420" s="197"/>
      <c r="G420" s="26" t="str">
        <f ca="1">IFERROR(__xludf.DUMMYFUNCTION("IF(I420="""","""",FILTER(DATOS!$D$4:$D$237,DATOS!$B$4:$B$237=I420))"),"13-128")</f>
        <v>13-128</v>
      </c>
      <c r="H420" s="27" t="str">
        <f ca="1">IFERROR(__xludf.DUMMYFUNCTION("IF(I420="""","""",FILTER(DATOS!$C$4:$C$237,DATOS!$B$4:$B$237=I420))"),"TEUSAQUILLO")</f>
        <v>TEUSAQUILLO</v>
      </c>
      <c r="I420" s="37" t="s">
        <v>43</v>
      </c>
      <c r="J420" s="29" t="s">
        <v>18</v>
      </c>
      <c r="K420" s="30">
        <v>105324204</v>
      </c>
      <c r="L420" s="57"/>
    </row>
    <row r="421" spans="1:12" ht="15.75" customHeight="1">
      <c r="A421" s="214"/>
      <c r="B421" s="197"/>
      <c r="C421" s="197"/>
      <c r="D421" s="197"/>
      <c r="E421" s="197"/>
      <c r="F421" s="197"/>
      <c r="G421" s="26" t="str">
        <f ca="1">IFERROR(__xludf.DUMMYFUNCTION("IF(I421="""","""",FILTER(DATOS!$D$4:$D$237,DATOS!$B$4:$B$237=I421))"),"12-110")</f>
        <v>12-110</v>
      </c>
      <c r="H421" s="27" t="str">
        <f ca="1">IFERROR(__xludf.DUMMYFUNCTION("IF(I421="""","""",FILTER(DATOS!$C$4:$C$237,DATOS!$B$4:$B$237=I421))"),"BARRIOS UNIDOS")</f>
        <v>BARRIOS UNIDOS</v>
      </c>
      <c r="I421" s="37" t="s">
        <v>120</v>
      </c>
      <c r="J421" s="29" t="s">
        <v>18</v>
      </c>
      <c r="K421" s="30">
        <v>546951499</v>
      </c>
      <c r="L421" s="57"/>
    </row>
    <row r="422" spans="1:12" ht="15.75" customHeight="1">
      <c r="A422" s="214"/>
      <c r="B422" s="197"/>
      <c r="C422" s="197"/>
      <c r="D422" s="197"/>
      <c r="E422" s="197"/>
      <c r="F422" s="197"/>
      <c r="G422" s="26" t="str">
        <f ca="1">IFERROR(__xludf.DUMMYFUNCTION("IF(I422="""","""",FILTER(DATOS!$D$4:$D$237,DATOS!$B$4:$B$237=I422))"),"10-290")</f>
        <v>10-290</v>
      </c>
      <c r="H422" s="27" t="str">
        <f ca="1">IFERROR(__xludf.DUMMYFUNCTION("IF(I422="""","""",FILTER(DATOS!$C$4:$C$237,DATOS!$B$4:$B$237=I422))"),"ENGATIVA")</f>
        <v>ENGATIVA</v>
      </c>
      <c r="I422" s="37" t="s">
        <v>62</v>
      </c>
      <c r="J422" s="29" t="s">
        <v>170</v>
      </c>
      <c r="K422" s="30">
        <v>32853611</v>
      </c>
      <c r="L422" s="57"/>
    </row>
    <row r="423" spans="1:12" ht="15.75" customHeight="1">
      <c r="A423" s="214"/>
      <c r="B423" s="197"/>
      <c r="C423" s="197"/>
      <c r="D423" s="197"/>
      <c r="E423" s="197"/>
      <c r="F423" s="197"/>
      <c r="G423" s="26" t="str">
        <f ca="1">IFERROR(__xludf.DUMMYFUNCTION("IF(I423="""","""",FILTER(DATOS!$D$4:$D$237,DATOS!$B$4:$B$237=I423))"),"13-122")</f>
        <v>13-122</v>
      </c>
      <c r="H423" s="27" t="str">
        <f ca="1">IFERROR(__xludf.DUMMYFUNCTION("IF(I423="""","""",FILTER(DATOS!$C$4:$C$237,DATOS!$B$4:$B$237=I423))"),"TEUSAQUILLO")</f>
        <v>TEUSAQUILLO</v>
      </c>
      <c r="I423" s="37" t="s">
        <v>32</v>
      </c>
      <c r="J423" s="29" t="s">
        <v>171</v>
      </c>
      <c r="K423" s="30">
        <v>75274493</v>
      </c>
      <c r="L423" s="57"/>
    </row>
    <row r="424" spans="1:12" ht="15.75" customHeight="1">
      <c r="A424" s="214"/>
      <c r="B424" s="197"/>
      <c r="C424" s="197"/>
      <c r="D424" s="197"/>
      <c r="E424" s="197"/>
      <c r="F424" s="197"/>
      <c r="G424" s="26" t="str">
        <f ca="1">IFERROR(__xludf.DUMMYFUNCTION("IF(I424="""","""",FILTER(DATOS!$D$4:$D$237,DATOS!$B$4:$B$237=I424))"),"08-212")</f>
        <v>08-212</v>
      </c>
      <c r="H424" s="27" t="str">
        <f ca="1">IFERROR(__xludf.DUMMYFUNCTION("IF(I424="""","""",FILTER(DATOS!$C$4:$C$237,DATOS!$B$4:$B$237=I424))"),"KENNEDY")</f>
        <v>KENNEDY</v>
      </c>
      <c r="I424" s="37" t="s">
        <v>106</v>
      </c>
      <c r="J424" s="29" t="s">
        <v>18</v>
      </c>
      <c r="K424" s="30">
        <v>209966311</v>
      </c>
      <c r="L424" s="57"/>
    </row>
    <row r="425" spans="1:12" ht="15.75" customHeight="1">
      <c r="A425" s="214"/>
      <c r="B425" s="197"/>
      <c r="C425" s="197"/>
      <c r="D425" s="197"/>
      <c r="E425" s="197"/>
      <c r="F425" s="197"/>
      <c r="G425" s="26" t="str">
        <f ca="1">IFERROR(__xludf.DUMMYFUNCTION("IF(I425="""","""",FILTER(DATOS!$D$4:$D$237,DATOS!$B$4:$B$237=I425))"),"16-099")</f>
        <v>16-099</v>
      </c>
      <c r="H425" s="27" t="str">
        <f ca="1">IFERROR(__xludf.DUMMYFUNCTION("IF(I425="""","""",FILTER(DATOS!$C$4:$C$237,DATOS!$B$4:$B$237=I425))"),"PUENTE ARANDA")</f>
        <v>PUENTE ARANDA</v>
      </c>
      <c r="I425" s="37" t="s">
        <v>112</v>
      </c>
      <c r="J425" s="29" t="s">
        <v>18</v>
      </c>
      <c r="K425" s="30">
        <v>104706696</v>
      </c>
      <c r="L425" s="57"/>
    </row>
    <row r="426" spans="1:12" ht="15.75" customHeight="1">
      <c r="A426" s="214"/>
      <c r="B426" s="197"/>
      <c r="C426" s="197"/>
      <c r="D426" s="197"/>
      <c r="E426" s="197"/>
      <c r="F426" s="197"/>
      <c r="G426" s="26" t="str">
        <f ca="1">IFERROR(__xludf.DUMMYFUNCTION("IF(I426="""","""",FILTER(DATOS!$D$4:$D$237,DATOS!$B$4:$B$237=I426))"),"16-112")</f>
        <v>16-112</v>
      </c>
      <c r="H426" s="27" t="str">
        <f ca="1">IFERROR(__xludf.DUMMYFUNCTION("IF(I426="""","""",FILTER(DATOS!$C$4:$C$237,DATOS!$B$4:$B$237=I426))"),"PUENTE ARANDA")</f>
        <v>PUENTE ARANDA</v>
      </c>
      <c r="I426" s="38" t="s">
        <v>79</v>
      </c>
      <c r="J426" s="29" t="s">
        <v>18</v>
      </c>
      <c r="K426" s="30">
        <v>267271293</v>
      </c>
      <c r="L426" s="57"/>
    </row>
    <row r="427" spans="1:12" ht="15.75" customHeight="1">
      <c r="A427" s="214"/>
      <c r="B427" s="197"/>
      <c r="C427" s="197"/>
      <c r="D427" s="197"/>
      <c r="E427" s="197"/>
      <c r="F427" s="197"/>
      <c r="G427" s="26" t="str">
        <f ca="1">IFERROR(__xludf.DUMMYFUNCTION("IF(I427="""","""",FILTER(DATOS!$D$4:$D$237,DATOS!$B$4:$B$237=I427))"),"16-204")</f>
        <v>16-204</v>
      </c>
      <c r="H427" s="27" t="str">
        <f ca="1">IFERROR(__xludf.DUMMYFUNCTION("IF(I427="""","""",FILTER(DATOS!$C$4:$C$237,DATOS!$B$4:$B$237=I427))"),"PUENTE ARANDA")</f>
        <v>PUENTE ARANDA</v>
      </c>
      <c r="I427" s="35" t="s">
        <v>83</v>
      </c>
      <c r="J427" s="29" t="s">
        <v>18</v>
      </c>
      <c r="K427" s="30">
        <v>253057751</v>
      </c>
      <c r="L427" s="57"/>
    </row>
    <row r="428" spans="1:12" ht="15.75" customHeight="1">
      <c r="A428" s="214"/>
      <c r="B428" s="197"/>
      <c r="C428" s="197"/>
      <c r="D428" s="197"/>
      <c r="E428" s="197"/>
      <c r="F428" s="197"/>
      <c r="G428" s="26" t="str">
        <f ca="1">IFERROR(__xludf.DUMMYFUNCTION("IF(I428="""","""",FILTER(DATOS!$D$4:$D$237,DATOS!$B$4:$B$237=I428))"),"08-200")</f>
        <v>08-200</v>
      </c>
      <c r="H428" s="27" t="str">
        <f ca="1">IFERROR(__xludf.DUMMYFUNCTION("IF(I428="""","""",FILTER(DATOS!$C$4:$C$237,DATOS!$B$4:$B$237=I428))"),"KENNEDY")</f>
        <v>KENNEDY</v>
      </c>
      <c r="I428" s="39" t="s">
        <v>77</v>
      </c>
      <c r="J428" s="29" t="s">
        <v>18</v>
      </c>
      <c r="K428" s="30">
        <v>111133774</v>
      </c>
      <c r="L428" s="57"/>
    </row>
    <row r="429" spans="1:12" ht="15.75" customHeight="1">
      <c r="A429" s="214"/>
      <c r="B429" s="197"/>
      <c r="C429" s="197"/>
      <c r="D429" s="197"/>
      <c r="E429" s="197"/>
      <c r="F429" s="197"/>
      <c r="G429" s="26" t="str">
        <f ca="1">IFERROR(__xludf.DUMMYFUNCTION("IF(I429="""","""",FILTER(DATOS!$D$4:$D$237,DATOS!$B$4:$B$237=I429))"),"08-066")</f>
        <v>08-066</v>
      </c>
      <c r="H429" s="27" t="str">
        <f ca="1">IFERROR(__xludf.DUMMYFUNCTION("IF(I429="""","""",FILTER(DATOS!$C$4:$C$237,DATOS!$B$4:$B$237=I429))"),"KENNEDY")</f>
        <v>KENNEDY</v>
      </c>
      <c r="I429" s="37" t="s">
        <v>110</v>
      </c>
      <c r="J429" s="29" t="s">
        <v>18</v>
      </c>
      <c r="K429" s="30">
        <v>209966311</v>
      </c>
      <c r="L429" s="57"/>
    </row>
    <row r="430" spans="1:12" ht="15.75" customHeight="1">
      <c r="A430" s="214"/>
      <c r="B430" s="197"/>
      <c r="C430" s="197"/>
      <c r="D430" s="197"/>
      <c r="E430" s="197"/>
      <c r="F430" s="197"/>
      <c r="G430" s="26" t="str">
        <f ca="1">IFERROR(__xludf.DUMMYFUNCTION("IF(I430="""","""",FILTER(DATOS!$D$4:$D$237,DATOS!$B$4:$B$237=I430))"),"08-109")</f>
        <v>08-109</v>
      </c>
      <c r="H430" s="27" t="str">
        <f ca="1">IFERROR(__xludf.DUMMYFUNCTION("IF(I430="""","""",FILTER(DATOS!$C$4:$C$237,DATOS!$B$4:$B$237=I430))"),"KENNEDY")</f>
        <v>KENNEDY</v>
      </c>
      <c r="I430" s="37" t="s">
        <v>86</v>
      </c>
      <c r="J430" s="29" t="s">
        <v>18</v>
      </c>
      <c r="K430" s="30">
        <v>104513230</v>
      </c>
      <c r="L430" s="57"/>
    </row>
    <row r="431" spans="1:12" ht="15.75" customHeight="1">
      <c r="A431" s="214"/>
      <c r="B431" s="197"/>
      <c r="C431" s="197"/>
      <c r="D431" s="197"/>
      <c r="E431" s="197"/>
      <c r="F431" s="197"/>
      <c r="G431" s="26" t="str">
        <f ca="1">IFERROR(__xludf.DUMMYFUNCTION("IF(I431="""","""",FILTER(DATOS!$D$4:$D$237,DATOS!$B$4:$B$237=I431))"),"03-035")</f>
        <v>03-035</v>
      </c>
      <c r="H431" s="27" t="str">
        <f ca="1">IFERROR(__xludf.DUMMYFUNCTION("IF(I431="""","""",FILTER(DATOS!$C$4:$C$237,DATOS!$B$4:$B$237=I431))"),"SANTAFE")</f>
        <v>SANTAFE</v>
      </c>
      <c r="I431" s="37" t="s">
        <v>46</v>
      </c>
      <c r="J431" s="29" t="s">
        <v>18</v>
      </c>
      <c r="K431" s="30">
        <v>1017731337</v>
      </c>
      <c r="L431" s="57"/>
    </row>
    <row r="432" spans="1:12" ht="15.75" customHeight="1">
      <c r="A432" s="214"/>
      <c r="B432" s="197"/>
      <c r="C432" s="197"/>
      <c r="D432" s="197"/>
      <c r="E432" s="197"/>
      <c r="F432" s="197"/>
      <c r="G432" s="26" t="str">
        <f ca="1">IFERROR(__xludf.DUMMYFUNCTION("IF(I432="""","""",FILTER(DATOS!$D$4:$D$237,DATOS!$B$4:$B$237=I432))"),"08-554")</f>
        <v>08-554</v>
      </c>
      <c r="H432" s="27" t="str">
        <f ca="1">IFERROR(__xludf.DUMMYFUNCTION("IF(I432="""","""",FILTER(DATOS!$C$4:$C$237,DATOS!$B$4:$B$237=I432))"),"KENNEDY")</f>
        <v>KENNEDY</v>
      </c>
      <c r="I432" s="37" t="s">
        <v>90</v>
      </c>
      <c r="J432" s="29" t="s">
        <v>18</v>
      </c>
      <c r="K432" s="30">
        <v>224739909</v>
      </c>
      <c r="L432" s="57"/>
    </row>
    <row r="433" spans="1:12" ht="15.75" customHeight="1">
      <c r="A433" s="214"/>
      <c r="B433" s="197"/>
      <c r="C433" s="197"/>
      <c r="D433" s="197"/>
      <c r="E433" s="197"/>
      <c r="F433" s="197"/>
      <c r="G433" s="26" t="str">
        <f ca="1">IFERROR(__xludf.DUMMYFUNCTION("IF(I433="""","""",FILTER(DATOS!$D$4:$D$237,DATOS!$B$4:$B$237=I433))"),"15-040")</f>
        <v>15-040</v>
      </c>
      <c r="H433" s="27" t="str">
        <f ca="1">IFERROR(__xludf.DUMMYFUNCTION("IF(I433="""","""",FILTER(DATOS!$C$4:$C$237,DATOS!$B$4:$B$237=I433))"),"ANTONIO NARIÑO")</f>
        <v>ANTONIO NARIÑO</v>
      </c>
      <c r="I433" s="37" t="s">
        <v>105</v>
      </c>
      <c r="J433" s="29" t="s">
        <v>18</v>
      </c>
      <c r="K433" s="30">
        <v>161174710</v>
      </c>
      <c r="L433" s="57"/>
    </row>
    <row r="434" spans="1:12" ht="15.75" customHeight="1">
      <c r="A434" s="214"/>
      <c r="B434" s="197"/>
      <c r="C434" s="197"/>
      <c r="D434" s="197"/>
      <c r="E434" s="197"/>
      <c r="F434" s="197"/>
      <c r="G434" s="26" t="str">
        <f ca="1">IFERROR(__xludf.DUMMYFUNCTION("IF(I434="""","""",FILTER(DATOS!$D$4:$D$237,DATOS!$B$4:$B$237=I434))"),"16-221")</f>
        <v>16-221</v>
      </c>
      <c r="H434" s="27" t="str">
        <f ca="1">IFERROR(__xludf.DUMMYFUNCTION("IF(I434="""","""",FILTER(DATOS!$C$4:$C$237,DATOS!$B$4:$B$237=I434))"),"PUENTE ARANDA")</f>
        <v>PUENTE ARANDA</v>
      </c>
      <c r="I434" s="37" t="s">
        <v>142</v>
      </c>
      <c r="J434" s="29" t="s">
        <v>18</v>
      </c>
      <c r="K434" s="30">
        <v>226756166</v>
      </c>
      <c r="L434" s="57"/>
    </row>
    <row r="435" spans="1:12" ht="15.75" customHeight="1">
      <c r="A435" s="214"/>
      <c r="B435" s="197"/>
      <c r="C435" s="197"/>
      <c r="D435" s="197"/>
      <c r="E435" s="197"/>
      <c r="F435" s="197"/>
      <c r="G435" s="26" t="str">
        <f ca="1">IFERROR(__xludf.DUMMYFUNCTION("IF(I435="""","""",FILTER(DATOS!$D$4:$D$237,DATOS!$B$4:$B$237=I435))"),"16-024")</f>
        <v>16-024</v>
      </c>
      <c r="H435" s="27" t="str">
        <f ca="1">IFERROR(__xludf.DUMMYFUNCTION("IF(I435="""","""",FILTER(DATOS!$C$4:$C$237,DATOS!$B$4:$B$237=I435))"),"PUENTE ARANDA")</f>
        <v>PUENTE ARANDA</v>
      </c>
      <c r="I435" s="37" t="s">
        <v>91</v>
      </c>
      <c r="J435" s="29" t="s">
        <v>18</v>
      </c>
      <c r="K435" s="30">
        <v>104513230</v>
      </c>
      <c r="L435" s="57"/>
    </row>
    <row r="436" spans="1:12" ht="15.75" customHeight="1">
      <c r="A436" s="214"/>
      <c r="B436" s="197"/>
      <c r="C436" s="197"/>
      <c r="D436" s="197"/>
      <c r="E436" s="197"/>
      <c r="F436" s="197"/>
      <c r="G436" s="26" t="str">
        <f ca="1">IFERROR(__xludf.DUMMYFUNCTION("IF(I436="""","""",FILTER(DATOS!$D$4:$D$237,DATOS!$B$4:$B$237=I436))"),"09-125")</f>
        <v>09-125</v>
      </c>
      <c r="H436" s="27" t="str">
        <f ca="1">IFERROR(__xludf.DUMMYFUNCTION("IF(I436="""","""",FILTER(DATOS!$C$4:$C$237,DATOS!$B$4:$B$237=I436))"),"FONTIBON")</f>
        <v>FONTIBON</v>
      </c>
      <c r="I436" s="37" t="s">
        <v>67</v>
      </c>
      <c r="J436" s="29" t="s">
        <v>18</v>
      </c>
      <c r="K436" s="30">
        <v>216586855</v>
      </c>
      <c r="L436" s="57"/>
    </row>
    <row r="437" spans="1:12" ht="15.75" customHeight="1">
      <c r="A437" s="214"/>
      <c r="B437" s="197"/>
      <c r="C437" s="197"/>
      <c r="D437" s="197"/>
      <c r="E437" s="197"/>
      <c r="F437" s="197"/>
      <c r="G437" s="26" t="str">
        <f ca="1">IFERROR(__xludf.DUMMYFUNCTION("IF(I437="""","""",FILTER(DATOS!$D$4:$D$237,DATOS!$B$4:$B$237=I437))"),"03-051")</f>
        <v>03-051</v>
      </c>
      <c r="H437" s="27" t="str">
        <f ca="1">IFERROR(__xludf.DUMMYFUNCTION("IF(I437="""","""",FILTER(DATOS!$C$4:$C$237,DATOS!$B$4:$B$237=I437))"),"SANTAFE")</f>
        <v>SANTAFE</v>
      </c>
      <c r="I437" s="37" t="s">
        <v>60</v>
      </c>
      <c r="J437" s="29" t="s">
        <v>18</v>
      </c>
      <c r="K437" s="30">
        <v>301319965</v>
      </c>
      <c r="L437" s="57"/>
    </row>
    <row r="438" spans="1:12" ht="15.75" customHeight="1">
      <c r="A438" s="214"/>
      <c r="B438" s="197"/>
      <c r="C438" s="197"/>
      <c r="D438" s="197"/>
      <c r="E438" s="197"/>
      <c r="F438" s="197"/>
      <c r="G438" s="26" t="str">
        <f ca="1">IFERROR(__xludf.DUMMYFUNCTION("IF(I438="""","""",FILTER(DATOS!$D$4:$D$237,DATOS!$B$4:$B$237=I438))"),"03-039")</f>
        <v>03-039</v>
      </c>
      <c r="H438" s="27" t="str">
        <f ca="1">IFERROR(__xludf.DUMMYFUNCTION("IF(I438="""","""",FILTER(DATOS!$C$4:$C$237,DATOS!$B$4:$B$237=I438))"),"SANTAFE")</f>
        <v>SANTAFE</v>
      </c>
      <c r="I438" s="28" t="s">
        <v>40</v>
      </c>
      <c r="J438" s="29" t="s">
        <v>18</v>
      </c>
      <c r="K438" s="30">
        <v>378198576</v>
      </c>
      <c r="L438" s="57"/>
    </row>
    <row r="439" spans="1:12" ht="15.75" customHeight="1">
      <c r="A439" s="214"/>
      <c r="B439" s="197"/>
      <c r="C439" s="197"/>
      <c r="D439" s="197"/>
      <c r="E439" s="197"/>
      <c r="F439" s="197"/>
      <c r="G439" s="26" t="str">
        <f ca="1">IFERROR(__xludf.DUMMYFUNCTION("IF(I439="""","""",FILTER(DATOS!$D$4:$D$237,DATOS!$B$4:$B$237=I439))"),"14-036")</f>
        <v>14-036</v>
      </c>
      <c r="H439" s="27" t="str">
        <f ca="1">IFERROR(__xludf.DUMMYFUNCTION("IF(I439="""","""",FILTER(DATOS!$C$4:$C$237,DATOS!$B$4:$B$237=I439))"),"MARTIRES")</f>
        <v>MARTIRES</v>
      </c>
      <c r="I439" s="37" t="s">
        <v>55</v>
      </c>
      <c r="J439" s="29" t="s">
        <v>18</v>
      </c>
      <c r="K439" s="30">
        <v>114655446</v>
      </c>
      <c r="L439" s="57"/>
    </row>
    <row r="440" spans="1:12" ht="15.75" customHeight="1">
      <c r="A440" s="214"/>
      <c r="B440" s="197"/>
      <c r="C440" s="197"/>
      <c r="D440" s="197"/>
      <c r="E440" s="197"/>
      <c r="F440" s="197"/>
      <c r="G440" s="26" t="str">
        <f ca="1">IFERROR(__xludf.DUMMYFUNCTION("IF(I440="""","""",FILTER(DATOS!$D$4:$D$237,DATOS!$B$4:$B$237=I440))"),"03-093")</f>
        <v>03-093</v>
      </c>
      <c r="H440" s="27" t="str">
        <f ca="1">IFERROR(__xludf.DUMMYFUNCTION("IF(I440="""","""",FILTER(DATOS!$C$4:$C$237,DATOS!$B$4:$B$237=I440))"),"SANTAFE")</f>
        <v>SANTAFE</v>
      </c>
      <c r="I440" s="37" t="s">
        <v>51</v>
      </c>
      <c r="J440" s="29" t="s">
        <v>18</v>
      </c>
      <c r="K440" s="30">
        <v>131163256</v>
      </c>
      <c r="L440" s="57"/>
    </row>
    <row r="441" spans="1:12" ht="15.75" customHeight="1">
      <c r="A441" s="214"/>
      <c r="B441" s="197"/>
      <c r="C441" s="197"/>
      <c r="D441" s="197"/>
      <c r="E441" s="197"/>
      <c r="F441" s="197"/>
      <c r="G441" s="26" t="str">
        <f ca="1">IFERROR(__xludf.DUMMYFUNCTION("IF(I441="""","""",FILTER(DATOS!$D$4:$D$237,DATOS!$B$4:$B$237=I441))"),"14-030")</f>
        <v>14-030</v>
      </c>
      <c r="H441" s="27" t="str">
        <f ca="1">IFERROR(__xludf.DUMMYFUNCTION("IF(I441="""","""",FILTER(DATOS!$C$4:$C$237,DATOS!$B$4:$B$237=I441))"),"MARTIRES")</f>
        <v>MARTIRES</v>
      </c>
      <c r="I441" s="37" t="s">
        <v>82</v>
      </c>
      <c r="J441" s="29" t="s">
        <v>18</v>
      </c>
      <c r="K441" s="30">
        <v>107363307</v>
      </c>
      <c r="L441" s="57"/>
    </row>
    <row r="442" spans="1:12" ht="15.75" customHeight="1">
      <c r="A442" s="214"/>
      <c r="B442" s="197"/>
      <c r="C442" s="197"/>
      <c r="D442" s="197"/>
      <c r="E442" s="197"/>
      <c r="F442" s="197"/>
      <c r="G442" s="26" t="str">
        <f ca="1">IFERROR(__xludf.DUMMYFUNCTION("IF(I442="""","""",FILTER(DATOS!$D$4:$D$237,DATOS!$B$4:$B$237=I442))"),"03-085")</f>
        <v>03-085</v>
      </c>
      <c r="H442" s="27" t="str">
        <f ca="1">IFERROR(__xludf.DUMMYFUNCTION("IF(I442="""","""",FILTER(DATOS!$C$4:$C$237,DATOS!$B$4:$B$237=I442))"),"SANTAFE")</f>
        <v>SANTAFE</v>
      </c>
      <c r="I442" s="28" t="s">
        <v>129</v>
      </c>
      <c r="J442" s="29" t="s">
        <v>18</v>
      </c>
      <c r="K442" s="30">
        <v>515691505</v>
      </c>
      <c r="L442" s="57"/>
    </row>
    <row r="443" spans="1:12" ht="15.75" customHeight="1">
      <c r="A443" s="214"/>
      <c r="B443" s="197"/>
      <c r="C443" s="197"/>
      <c r="D443" s="197"/>
      <c r="E443" s="197"/>
      <c r="F443" s="197"/>
      <c r="G443" s="26" t="str">
        <f ca="1">IFERROR(__xludf.DUMMYFUNCTION("IF(I443="""","""",FILTER(DATOS!$D$4:$D$237,DATOS!$B$4:$B$237=I443))"),"03-014")</f>
        <v>03-014</v>
      </c>
      <c r="H443" s="27" t="str">
        <f ca="1">IFERROR(__xludf.DUMMYFUNCTION("IF(I443="""","""",FILTER(DATOS!$C$4:$C$237,DATOS!$B$4:$B$237=I443))"),"SANTAFE")</f>
        <v>SANTAFE</v>
      </c>
      <c r="I443" s="28" t="s">
        <v>153</v>
      </c>
      <c r="J443" s="29" t="s">
        <v>18</v>
      </c>
      <c r="K443" s="30">
        <v>104513230</v>
      </c>
      <c r="L443" s="57"/>
    </row>
    <row r="444" spans="1:12" ht="15.75" customHeight="1">
      <c r="A444" s="214"/>
      <c r="B444" s="197"/>
      <c r="C444" s="197"/>
      <c r="D444" s="197"/>
      <c r="E444" s="197"/>
      <c r="F444" s="197"/>
      <c r="G444" s="26" t="str">
        <f ca="1">IFERROR(__xludf.DUMMYFUNCTION("IF(I444="""","""",FILTER(DATOS!$D$4:$D$237,DATOS!$B$4:$B$237=I444))"),"03-036")</f>
        <v>03-036</v>
      </c>
      <c r="H444" s="27" t="str">
        <f ca="1">IFERROR(__xludf.DUMMYFUNCTION("IF(I444="""","""",FILTER(DATOS!$C$4:$C$237,DATOS!$B$4:$B$237=I444))"),"SANTAFE")</f>
        <v>SANTAFE</v>
      </c>
      <c r="I444" s="37" t="s">
        <v>109</v>
      </c>
      <c r="J444" s="29" t="s">
        <v>18</v>
      </c>
      <c r="K444" s="30">
        <v>164024806</v>
      </c>
      <c r="L444" s="57"/>
    </row>
    <row r="445" spans="1:12" ht="15.75" customHeight="1">
      <c r="A445" s="214"/>
      <c r="B445" s="197"/>
      <c r="C445" s="197"/>
      <c r="D445" s="197"/>
      <c r="E445" s="197"/>
      <c r="F445" s="197"/>
      <c r="G445" s="26" t="str">
        <f ca="1">IFERROR(__xludf.DUMMYFUNCTION("IF(I445="""","""",FILTER(DATOS!$D$4:$D$237,DATOS!$B$4:$B$237=I445))"),"17-008")</f>
        <v>17-008</v>
      </c>
      <c r="H445" s="27" t="str">
        <f ca="1">IFERROR(__xludf.DUMMYFUNCTION("IF(I445="""","""",FILTER(DATOS!$C$4:$C$237,DATOS!$B$4:$B$237=I445))"),"CANDELARIA")</f>
        <v>CANDELARIA</v>
      </c>
      <c r="I445" s="37" t="s">
        <v>172</v>
      </c>
      <c r="J445" s="29" t="s">
        <v>18</v>
      </c>
      <c r="K445" s="30">
        <v>47851742</v>
      </c>
      <c r="L445" s="57"/>
    </row>
    <row r="446" spans="1:12" ht="15.75" customHeight="1">
      <c r="A446" s="214"/>
      <c r="B446" s="197"/>
      <c r="C446" s="197"/>
      <c r="D446" s="197"/>
      <c r="E446" s="197"/>
      <c r="F446" s="197"/>
      <c r="G446" s="26" t="str">
        <f ca="1">IFERROR(__xludf.DUMMYFUNCTION("IF(I446="""","""",FILTER(DATOS!$D$4:$D$237,DATOS!$B$4:$B$237=I446))"),"16-099")</f>
        <v>16-099</v>
      </c>
      <c r="H446" s="27" t="str">
        <f ca="1">IFERROR(__xludf.DUMMYFUNCTION("IF(I446="""","""",FILTER(DATOS!$C$4:$C$237,DATOS!$B$4:$B$237=I446))"),"PUENTE ARANDA")</f>
        <v>PUENTE ARANDA</v>
      </c>
      <c r="I446" s="37" t="s">
        <v>112</v>
      </c>
      <c r="J446" s="29" t="s">
        <v>18</v>
      </c>
      <c r="K446" s="30">
        <v>104513230</v>
      </c>
      <c r="L446" s="57"/>
    </row>
    <row r="447" spans="1:12" ht="15.75" customHeight="1">
      <c r="A447" s="214"/>
      <c r="B447" s="197"/>
      <c r="C447" s="197"/>
      <c r="D447" s="197"/>
      <c r="E447" s="197"/>
      <c r="F447" s="197"/>
      <c r="G447" s="26" t="str">
        <f ca="1">IFERROR(__xludf.DUMMYFUNCTION("IF(I447="""","""",FILTER(DATOS!$D$4:$D$237,DATOS!$B$4:$B$237=I447))"),"")</f>
        <v/>
      </c>
      <c r="H447" s="27" t="str">
        <f ca="1">IFERROR(__xludf.DUMMYFUNCTION("IF(I447="""","""",FILTER(DATOS!$C$4:$C$237,DATOS!$B$4:$B$237=I447))"),"")</f>
        <v/>
      </c>
      <c r="I447" s="40" t="s">
        <v>138</v>
      </c>
      <c r="J447" s="29" t="s">
        <v>18</v>
      </c>
      <c r="K447" s="30">
        <v>107363307</v>
      </c>
      <c r="L447" s="57"/>
    </row>
    <row r="448" spans="1:12" ht="15.75" customHeight="1">
      <c r="A448" s="214"/>
      <c r="B448" s="197"/>
      <c r="C448" s="197"/>
      <c r="D448" s="197"/>
      <c r="E448" s="197"/>
      <c r="F448" s="197"/>
      <c r="G448" s="26" t="str">
        <f ca="1">IFERROR(__xludf.DUMMYFUNCTION("IF(I448="""","""",FILTER(DATOS!$D$4:$D$237,DATOS!$B$4:$B$237=I448))"),"16-416")</f>
        <v>16-416</v>
      </c>
      <c r="H448" s="27" t="str">
        <f ca="1">IFERROR(__xludf.DUMMYFUNCTION("IF(I448="""","""",FILTER(DATOS!$C$4:$C$237,DATOS!$B$4:$B$237=I448))"),"PUENTE ARANDA")</f>
        <v>PUENTE ARANDA</v>
      </c>
      <c r="I448" s="37" t="s">
        <v>49</v>
      </c>
      <c r="J448" s="29" t="s">
        <v>18</v>
      </c>
      <c r="K448" s="30">
        <v>104513230</v>
      </c>
      <c r="L448" s="57"/>
    </row>
    <row r="449" spans="1:12" ht="15.75" customHeight="1">
      <c r="A449" s="214"/>
      <c r="B449" s="197"/>
      <c r="C449" s="197"/>
      <c r="D449" s="197"/>
      <c r="E449" s="197"/>
      <c r="F449" s="197"/>
      <c r="G449" s="26" t="str">
        <f ca="1">IFERROR(__xludf.DUMMYFUNCTION("IF(I449="""","""",FILTER(DATOS!$D$4:$D$237,DATOS!$B$4:$B$237=I449))"),"16-416")</f>
        <v>16-416</v>
      </c>
      <c r="H449" s="27" t="str">
        <f ca="1">IFERROR(__xludf.DUMMYFUNCTION("IF(I449="""","""",FILTER(DATOS!$C$4:$C$237,DATOS!$B$4:$B$237=I449))"),"PUENTE ARANDA")</f>
        <v>PUENTE ARANDA</v>
      </c>
      <c r="I449" s="37" t="s">
        <v>49</v>
      </c>
      <c r="J449" s="29" t="s">
        <v>173</v>
      </c>
      <c r="K449" s="30">
        <v>104510230</v>
      </c>
      <c r="L449" s="57"/>
    </row>
    <row r="450" spans="1:12" ht="15.75" customHeight="1">
      <c r="A450" s="214"/>
      <c r="B450" s="197"/>
      <c r="C450" s="197"/>
      <c r="D450" s="197"/>
      <c r="E450" s="197"/>
      <c r="F450" s="197"/>
      <c r="G450" s="26" t="str">
        <f ca="1">IFERROR(__xludf.DUMMYFUNCTION("IF(I450="""","""",FILTER(DATOS!$D$4:$D$237,DATOS!$B$4:$B$237=I450))"),"18-028")</f>
        <v>18-028</v>
      </c>
      <c r="H450" s="27" t="str">
        <f ca="1">IFERROR(__xludf.DUMMYFUNCTION("IF(I450="""","""",FILTER(DATOS!$C$4:$C$237,DATOS!$B$4:$B$237=I450))"),"RAFAEL URIBE")</f>
        <v>RAFAEL URIBE</v>
      </c>
      <c r="I450" s="40" t="s">
        <v>74</v>
      </c>
      <c r="J450" s="29" t="s">
        <v>18</v>
      </c>
      <c r="K450" s="30">
        <v>318801219</v>
      </c>
      <c r="L450" s="57"/>
    </row>
    <row r="451" spans="1:12" ht="15.75" customHeight="1">
      <c r="A451" s="214"/>
      <c r="B451" s="197"/>
      <c r="C451" s="197"/>
      <c r="D451" s="197"/>
      <c r="E451" s="197"/>
      <c r="F451" s="197"/>
      <c r="G451" s="26" t="str">
        <f ca="1">IFERROR(__xludf.DUMMYFUNCTION("IF(I451="""","""",FILTER(DATOS!$D$4:$D$237,DATOS!$B$4:$B$237=I451))"),"05-236")</f>
        <v>05-236</v>
      </c>
      <c r="H451" s="27" t="str">
        <f ca="1">IFERROR(__xludf.DUMMYFUNCTION("IF(I451="""","""",FILTER(DATOS!$C$4:$C$237,DATOS!$B$4:$B$237=I451))"),"USME")</f>
        <v>USME</v>
      </c>
      <c r="I451" s="37" t="s">
        <v>122</v>
      </c>
      <c r="J451" s="29" t="s">
        <v>18</v>
      </c>
      <c r="K451" s="30">
        <v>104876471</v>
      </c>
      <c r="L451" s="57"/>
    </row>
    <row r="452" spans="1:12" ht="15.75" customHeight="1">
      <c r="A452" s="214"/>
      <c r="B452" s="197"/>
      <c r="C452" s="197"/>
      <c r="D452" s="197"/>
      <c r="E452" s="197"/>
      <c r="F452" s="197"/>
      <c r="G452" s="26" t="str">
        <f ca="1">IFERROR(__xludf.DUMMYFUNCTION("IF(I452="""","""",FILTER(DATOS!$D$4:$D$237,DATOS!$B$4:$B$237=I452))"),"18-207")</f>
        <v>18-207</v>
      </c>
      <c r="H452" s="27" t="str">
        <f ca="1">IFERROR(__xludf.DUMMYFUNCTION("IF(I452="""","""",FILTER(DATOS!$C$4:$C$237,DATOS!$B$4:$B$237=I452))"),"RAFAEL URIBE")</f>
        <v>RAFAEL URIBE</v>
      </c>
      <c r="I452" s="37" t="s">
        <v>93</v>
      </c>
      <c r="J452" s="29" t="s">
        <v>18</v>
      </c>
      <c r="K452" s="30">
        <v>407341701</v>
      </c>
      <c r="L452" s="57"/>
    </row>
    <row r="453" spans="1:12" ht="15.75" customHeight="1">
      <c r="A453" s="214"/>
      <c r="B453" s="197"/>
      <c r="C453" s="197"/>
      <c r="D453" s="197"/>
      <c r="E453" s="197"/>
      <c r="F453" s="197"/>
      <c r="G453" s="26" t="str">
        <f ca="1">IFERROR(__xludf.DUMMYFUNCTION("IF(I453="""","""",FILTER(DATOS!$D$4:$D$237,DATOS!$B$4:$B$237=I453))"),"18-090")</f>
        <v>18-090</v>
      </c>
      <c r="H453" s="27" t="str">
        <f ca="1">IFERROR(__xludf.DUMMYFUNCTION("IF(I453="""","""",FILTER(DATOS!$C$4:$C$237,DATOS!$B$4:$B$237=I453))"),"RAFAEL URIBE")</f>
        <v>RAFAEL URIBE</v>
      </c>
      <c r="I453" s="41" t="s">
        <v>94</v>
      </c>
      <c r="J453" s="29" t="s">
        <v>18</v>
      </c>
      <c r="K453" s="30">
        <v>104513230</v>
      </c>
      <c r="L453" s="57"/>
    </row>
    <row r="454" spans="1:12" ht="15.75" customHeight="1">
      <c r="A454" s="214"/>
      <c r="B454" s="197"/>
      <c r="C454" s="197"/>
      <c r="D454" s="197"/>
      <c r="E454" s="197"/>
      <c r="F454" s="197"/>
      <c r="G454" s="26" t="str">
        <f ca="1">IFERROR(__xludf.DUMMYFUNCTION("IF(I454="""","""",FILTER(DATOS!$D$4:$D$237,DATOS!$B$4:$B$237=I454))"),"04-103")</f>
        <v>04-103</v>
      </c>
      <c r="H454" s="27" t="str">
        <f ca="1">IFERROR(__xludf.DUMMYFUNCTION("IF(I454="""","""",FILTER(DATOS!$C$4:$C$237,DATOS!$B$4:$B$237=I454))"),"SAN CRISTOBAL")</f>
        <v>SAN CRISTOBAL</v>
      </c>
      <c r="I454" s="37" t="s">
        <v>95</v>
      </c>
      <c r="J454" s="29" t="s">
        <v>18</v>
      </c>
      <c r="K454" s="30">
        <v>318994685</v>
      </c>
      <c r="L454" s="57"/>
    </row>
    <row r="455" spans="1:12" ht="15.75" customHeight="1">
      <c r="A455" s="214"/>
      <c r="B455" s="197"/>
      <c r="C455" s="197"/>
      <c r="D455" s="197"/>
      <c r="E455" s="197"/>
      <c r="F455" s="197"/>
      <c r="G455" s="26" t="str">
        <f ca="1">IFERROR(__xludf.DUMMYFUNCTION("IF(I455="""","""",FILTER(DATOS!$D$4:$D$237,DATOS!$B$4:$B$237=I455))"),"18-452")</f>
        <v>18-452</v>
      </c>
      <c r="H455" s="27" t="str">
        <f ca="1">IFERROR(__xludf.DUMMYFUNCTION("IF(I455="""","""",FILTER(DATOS!$C$4:$C$237,DATOS!$B$4:$B$237=I455))"),"RAFAEL URIBE")</f>
        <v>RAFAEL URIBE</v>
      </c>
      <c r="I455" s="37" t="s">
        <v>98</v>
      </c>
      <c r="J455" s="29" t="s">
        <v>18</v>
      </c>
      <c r="K455" s="30">
        <v>104513230</v>
      </c>
      <c r="L455" s="57"/>
    </row>
    <row r="456" spans="1:12" ht="15.75" customHeight="1">
      <c r="A456" s="214"/>
      <c r="B456" s="197"/>
      <c r="C456" s="197"/>
      <c r="D456" s="197"/>
      <c r="E456" s="197"/>
      <c r="F456" s="197"/>
      <c r="G456" s="26" t="str">
        <f ca="1">IFERROR(__xludf.DUMMYFUNCTION("IF(I456="""","""",FILTER(DATOS!$D$4:$D$237,DATOS!$B$4:$B$237=I456))"),"04-122")</f>
        <v>04-122</v>
      </c>
      <c r="H456" s="27" t="str">
        <f ca="1">IFERROR(__xludf.DUMMYFUNCTION("IF(I456="""","""",FILTER(DATOS!$C$4:$C$237,DATOS!$B$4:$B$237=I456))"),"SAN CRISTOBAL")</f>
        <v>SAN CRISTOBAL</v>
      </c>
      <c r="I456" s="37" t="s">
        <v>108</v>
      </c>
      <c r="J456" s="29" t="s">
        <v>18</v>
      </c>
      <c r="K456" s="30">
        <v>256681691</v>
      </c>
      <c r="L456" s="57"/>
    </row>
    <row r="457" spans="1:12" ht="15.75" customHeight="1">
      <c r="A457" s="214"/>
      <c r="B457" s="197"/>
      <c r="C457" s="197"/>
      <c r="D457" s="197"/>
      <c r="E457" s="197"/>
      <c r="F457" s="197"/>
      <c r="G457" s="26" t="str">
        <f ca="1">IFERROR(__xludf.DUMMYFUNCTION("IF(I457="""","""",FILTER(DATOS!$D$4:$D$237,DATOS!$B$4:$B$237=I457))"),"18-205")</f>
        <v>18-205</v>
      </c>
      <c r="H457" s="27" t="str">
        <f ca="1">IFERROR(__xludf.DUMMYFUNCTION("IF(I457="""","""",FILTER(DATOS!$C$4:$C$237,DATOS!$B$4:$B$237=I457))"),"RAFAEL URIBE")</f>
        <v>RAFAEL URIBE</v>
      </c>
      <c r="I457" s="37" t="s">
        <v>121</v>
      </c>
      <c r="J457" s="29" t="s">
        <v>18</v>
      </c>
      <c r="K457" s="30">
        <v>104513230</v>
      </c>
      <c r="L457" s="57"/>
    </row>
    <row r="458" spans="1:12" ht="15.75" customHeight="1">
      <c r="A458" s="214"/>
      <c r="B458" s="197"/>
      <c r="C458" s="197"/>
      <c r="D458" s="197"/>
      <c r="E458" s="197"/>
      <c r="F458" s="197"/>
      <c r="G458" s="26" t="str">
        <f ca="1">IFERROR(__xludf.DUMMYFUNCTION("IF(I458="""","""",FILTER(DATOS!$D$4:$D$237,DATOS!$B$4:$B$237=I458))"),"04-127")</f>
        <v>04-127</v>
      </c>
      <c r="H458" s="27" t="str">
        <f ca="1">IFERROR(__xludf.DUMMYFUNCTION("IF(I458="""","""",FILTER(DATOS!$C$4:$C$237,DATOS!$B$4:$B$237=I458))"),"SAN CRISTOBAL")</f>
        <v>SAN CRISTOBAL</v>
      </c>
      <c r="I458" s="37" t="s">
        <v>123</v>
      </c>
      <c r="J458" s="29" t="s">
        <v>18</v>
      </c>
      <c r="K458" s="30">
        <v>442664536</v>
      </c>
      <c r="L458" s="57"/>
    </row>
    <row r="459" spans="1:12" ht="15.75" customHeight="1">
      <c r="A459" s="214"/>
      <c r="B459" s="197"/>
      <c r="C459" s="197"/>
      <c r="D459" s="197"/>
      <c r="E459" s="197"/>
      <c r="F459" s="197"/>
      <c r="G459" s="26" t="str">
        <f ca="1">IFERROR(__xludf.DUMMYFUNCTION("IF(I459="""","""",FILTER(DATOS!$D$4:$D$237,DATOS!$B$4:$B$237=I459))"),"04-127")</f>
        <v>04-127</v>
      </c>
      <c r="H459" s="27" t="str">
        <f ca="1">IFERROR(__xludf.DUMMYFUNCTION("IF(I459="""","""",FILTER(DATOS!$C$4:$C$237,DATOS!$B$4:$B$237=I459))"),"SAN CRISTOBAL")</f>
        <v>SAN CRISTOBAL</v>
      </c>
      <c r="I459" s="28" t="s">
        <v>124</v>
      </c>
      <c r="J459" s="29" t="s">
        <v>18</v>
      </c>
      <c r="K459" s="30">
        <v>494300684</v>
      </c>
      <c r="L459" s="57"/>
    </row>
    <row r="460" spans="1:12" ht="15.75" customHeight="1">
      <c r="A460" s="214"/>
      <c r="B460" s="197"/>
      <c r="C460" s="197"/>
      <c r="D460" s="197"/>
      <c r="E460" s="197"/>
      <c r="F460" s="197"/>
      <c r="G460" s="26" t="str">
        <f ca="1">IFERROR(__xludf.DUMMYFUNCTION("IF(I460="""","""",FILTER(DATOS!$D$4:$D$237,DATOS!$B$4:$B$237=I460))"),"04-075")</f>
        <v>04-075</v>
      </c>
      <c r="H460" s="27" t="str">
        <f ca="1">IFERROR(__xludf.DUMMYFUNCTION("IF(I460="""","""",FILTER(DATOS!$C$4:$C$237,DATOS!$B$4:$B$237=I460))"),"SAN CRISTOBAL")</f>
        <v>SAN CRISTOBAL</v>
      </c>
      <c r="I460" s="28" t="s">
        <v>136</v>
      </c>
      <c r="J460" s="29" t="s">
        <v>18</v>
      </c>
      <c r="K460" s="30">
        <v>109962730</v>
      </c>
      <c r="L460" s="57"/>
    </row>
    <row r="461" spans="1:12" ht="15.75" customHeight="1">
      <c r="A461" s="214"/>
      <c r="B461" s="197"/>
      <c r="C461" s="197"/>
      <c r="D461" s="197"/>
      <c r="E461" s="197"/>
      <c r="F461" s="197"/>
      <c r="G461" s="26" t="str">
        <f ca="1">IFERROR(__xludf.DUMMYFUNCTION("IF(I461="""","""",FILTER(DATOS!$D$4:$D$237,DATOS!$B$4:$B$237=I461))"),"04-196")</f>
        <v>04-196</v>
      </c>
      <c r="H461" s="27" t="str">
        <f ca="1">IFERROR(__xludf.DUMMYFUNCTION("IF(I461="""","""",FILTER(DATOS!$C$4:$C$237,DATOS!$B$4:$B$237=I461))"),"SAN CRISTOBAL")</f>
        <v>SAN CRISTOBAL</v>
      </c>
      <c r="I461" s="28" t="s">
        <v>134</v>
      </c>
      <c r="J461" s="29" t="s">
        <v>18</v>
      </c>
      <c r="K461" s="30">
        <v>259094481</v>
      </c>
      <c r="L461" s="57"/>
    </row>
    <row r="462" spans="1:12" ht="15.75" customHeight="1">
      <c r="A462" s="214"/>
      <c r="B462" s="197"/>
      <c r="C462" s="197"/>
      <c r="D462" s="197"/>
      <c r="E462" s="197"/>
      <c r="F462" s="197"/>
      <c r="G462" s="26" t="str">
        <f ca="1">IFERROR(__xludf.DUMMYFUNCTION("IF(I462="""","""",FILTER(DATOS!$D$4:$D$237,DATOS!$B$4:$B$237=I462))"),"19-756")</f>
        <v>19-756</v>
      </c>
      <c r="H462" s="27" t="str">
        <f ca="1">IFERROR(__xludf.DUMMYFUNCTION("IF(I462="""","""",FILTER(DATOS!$C$4:$C$237,DATOS!$B$4:$B$237=I462))"),"CIUDAD BOLIVAR")</f>
        <v>CIUDAD BOLIVAR</v>
      </c>
      <c r="I462" s="37" t="s">
        <v>71</v>
      </c>
      <c r="J462" s="29" t="s">
        <v>18</v>
      </c>
      <c r="K462" s="30">
        <v>315158907</v>
      </c>
      <c r="L462" s="57"/>
    </row>
    <row r="463" spans="1:12" ht="15.75" customHeight="1">
      <c r="A463" s="214"/>
      <c r="B463" s="197"/>
      <c r="C463" s="197"/>
      <c r="D463" s="197"/>
      <c r="E463" s="197"/>
      <c r="F463" s="197"/>
      <c r="G463" s="26" t="str">
        <f ca="1">IFERROR(__xludf.DUMMYFUNCTION("IF(I463="""","""",FILTER(DATOS!$D$4:$D$237,DATOS!$B$4:$B$237=I463))"),"19-188")</f>
        <v>19-188</v>
      </c>
      <c r="H463" s="27" t="str">
        <f ca="1">IFERROR(__xludf.DUMMYFUNCTION("IF(I463="""","""",FILTER(DATOS!$C$4:$C$237,DATOS!$B$4:$B$237=I463))"),"CIUDAD BOLIVAR")</f>
        <v>CIUDAD BOLIVAR</v>
      </c>
      <c r="I463" s="37" t="s">
        <v>72</v>
      </c>
      <c r="J463" s="29" t="s">
        <v>18</v>
      </c>
      <c r="K463" s="30">
        <v>109902543</v>
      </c>
      <c r="L463" s="57"/>
    </row>
    <row r="464" spans="1:12" ht="15.75" customHeight="1">
      <c r="A464" s="214"/>
      <c r="B464" s="197"/>
      <c r="C464" s="197"/>
      <c r="D464" s="197"/>
      <c r="E464" s="197"/>
      <c r="F464" s="197"/>
      <c r="G464" s="26" t="str">
        <f ca="1">IFERROR(__xludf.DUMMYFUNCTION("IF(I464="""","""",FILTER(DATOS!$D$4:$D$237,DATOS!$B$4:$B$237=I464))"),"19-229")</f>
        <v>19-229</v>
      </c>
      <c r="H464" s="27" t="str">
        <f ca="1">IFERROR(__xludf.DUMMYFUNCTION("IF(I464="""","""",FILTER(DATOS!$C$4:$C$237,DATOS!$B$4:$B$237=I464))"),"CIUDAD BOLIVAR")</f>
        <v>CIUDAD BOLIVAR</v>
      </c>
      <c r="I464" s="37" t="s">
        <v>73</v>
      </c>
      <c r="J464" s="29" t="s">
        <v>18</v>
      </c>
      <c r="K464" s="30">
        <v>107102822</v>
      </c>
      <c r="L464" s="57"/>
    </row>
    <row r="465" spans="1:12" ht="15.75" customHeight="1">
      <c r="A465" s="214"/>
      <c r="B465" s="197"/>
      <c r="C465" s="197"/>
      <c r="D465" s="197"/>
      <c r="E465" s="197"/>
      <c r="F465" s="197"/>
      <c r="G465" s="26" t="str">
        <f ca="1">IFERROR(__xludf.DUMMYFUNCTION("IF(I465="""","""",FILTER(DATOS!$D$4:$D$237,DATOS!$B$4:$B$237=I465))"),"19-347")</f>
        <v>19-347</v>
      </c>
      <c r="H465" s="27" t="str">
        <f ca="1">IFERROR(__xludf.DUMMYFUNCTION("IF(I465="""","""",FILTER(DATOS!$C$4:$C$237,DATOS!$B$4:$B$237=I465))"),"CIUDAD BOLIVAR")</f>
        <v>CIUDAD BOLIVAR</v>
      </c>
      <c r="I465" s="28" t="s">
        <v>75</v>
      </c>
      <c r="J465" s="29" t="s">
        <v>18</v>
      </c>
      <c r="K465" s="30">
        <v>212099825</v>
      </c>
      <c r="L465" s="57"/>
    </row>
    <row r="466" spans="1:12" ht="15.75" customHeight="1">
      <c r="A466" s="214"/>
      <c r="B466" s="197"/>
      <c r="C466" s="197"/>
      <c r="D466" s="197"/>
      <c r="E466" s="197"/>
      <c r="F466" s="197"/>
      <c r="G466" s="26" t="str">
        <f ca="1">IFERROR(__xludf.DUMMYFUNCTION("IF(I466="""","""",FILTER(DATOS!$D$4:$D$237,DATOS!$B$4:$B$237=I466))"),"07-436")</f>
        <v>07-436</v>
      </c>
      <c r="H466" s="27" t="str">
        <f ca="1">IFERROR(__xludf.DUMMYFUNCTION("IF(I466="""","""",FILTER(DATOS!$C$4:$C$237,DATOS!$B$4:$B$237=I466))"),"BOSA")</f>
        <v>BOSA</v>
      </c>
      <c r="I466" s="28" t="s">
        <v>140</v>
      </c>
      <c r="J466" s="29" t="s">
        <v>18</v>
      </c>
      <c r="K466" s="30">
        <v>255647343</v>
      </c>
      <c r="L466" s="57"/>
    </row>
    <row r="467" spans="1:12" ht="15.75" customHeight="1">
      <c r="A467" s="214"/>
      <c r="B467" s="197"/>
      <c r="C467" s="197"/>
      <c r="D467" s="197"/>
      <c r="E467" s="197"/>
      <c r="F467" s="197"/>
      <c r="G467" s="26" t="str">
        <f ca="1">IFERROR(__xludf.DUMMYFUNCTION("IF(I467="""","""",FILTER(DATOS!$D$4:$D$237,DATOS!$B$4:$B$237=I467))"),"19-189")</f>
        <v>19-189</v>
      </c>
      <c r="H467" s="27" t="str">
        <f ca="1">IFERROR(__xludf.DUMMYFUNCTION("IF(I467="""","""",FILTER(DATOS!$C$4:$C$237,DATOS!$B$4:$B$237=I467))"),"CIUDAD BOLIVAR")</f>
        <v>CIUDAD BOLIVAR</v>
      </c>
      <c r="I467" s="28" t="s">
        <v>76</v>
      </c>
      <c r="J467" s="29" t="s">
        <v>18</v>
      </c>
      <c r="K467" s="30">
        <v>150194262</v>
      </c>
      <c r="L467" s="57"/>
    </row>
    <row r="468" spans="1:12" ht="15.75" customHeight="1">
      <c r="A468" s="214"/>
      <c r="B468" s="197"/>
      <c r="C468" s="197"/>
      <c r="D468" s="197"/>
      <c r="E468" s="197"/>
      <c r="F468" s="197"/>
      <c r="G468" s="26" t="str">
        <f ca="1">IFERROR(__xludf.DUMMYFUNCTION("IF(I468="""","""",FILTER(DATOS!$D$4:$D$237,DATOS!$B$4:$B$237=I468))"),"08-241")</f>
        <v>08-241</v>
      </c>
      <c r="H468" s="27" t="str">
        <f ca="1">IFERROR(__xludf.DUMMYFUNCTION("IF(I468="""","""",FILTER(DATOS!$C$4:$C$237,DATOS!$B$4:$B$237=I468))"),"KENNEDY")</f>
        <v>KENNEDY</v>
      </c>
      <c r="I468" s="37" t="s">
        <v>78</v>
      </c>
      <c r="J468" s="29" t="s">
        <v>18</v>
      </c>
      <c r="K468" s="30">
        <v>569296203</v>
      </c>
      <c r="L468" s="57"/>
    </row>
    <row r="469" spans="1:12" ht="15.75" customHeight="1">
      <c r="A469" s="214"/>
      <c r="B469" s="197"/>
      <c r="C469" s="197"/>
      <c r="D469" s="197"/>
      <c r="E469" s="197"/>
      <c r="F469" s="197"/>
      <c r="G469" s="26" t="str">
        <f ca="1">IFERROR(__xludf.DUMMYFUNCTION("IF(I469="""","""",FILTER(DATOS!$D$4:$D$237,DATOS!$B$4:$B$237=I469))"),"15-036")</f>
        <v>15-036</v>
      </c>
      <c r="H469" s="27" t="str">
        <f ca="1">IFERROR(__xludf.DUMMYFUNCTION("IF(I469="""","""",FILTER(DATOS!$C$4:$C$237,DATOS!$B$4:$B$237=I469))"),"ANTONIO NARIÑO")</f>
        <v>ANTONIO NARIÑO</v>
      </c>
      <c r="I469" s="37" t="s">
        <v>137</v>
      </c>
      <c r="J469" s="29" t="s">
        <v>174</v>
      </c>
      <c r="K469" s="30">
        <v>105026609</v>
      </c>
      <c r="L469" s="57"/>
    </row>
    <row r="470" spans="1:12" ht="15.75" customHeight="1">
      <c r="A470" s="214"/>
      <c r="B470" s="197"/>
      <c r="C470" s="197"/>
      <c r="D470" s="197"/>
      <c r="E470" s="197"/>
      <c r="F470" s="197"/>
      <c r="G470" s="26" t="str">
        <f ca="1">IFERROR(__xludf.DUMMYFUNCTION("IF(I470="""","""",FILTER(DATOS!$D$4:$D$237,DATOS!$B$4:$B$237=I470))"),"15-036")</f>
        <v>15-036</v>
      </c>
      <c r="H470" s="27" t="str">
        <f ca="1">IFERROR(__xludf.DUMMYFUNCTION("IF(I470="""","""",FILTER(DATOS!$C$4:$C$237,DATOS!$B$4:$B$237=I470))"),"ANTONIO NARIÑO")</f>
        <v>ANTONIO NARIÑO</v>
      </c>
      <c r="I470" s="37" t="s">
        <v>137</v>
      </c>
      <c r="J470" s="29" t="s">
        <v>175</v>
      </c>
      <c r="K470" s="30">
        <v>104252745</v>
      </c>
      <c r="L470" s="57"/>
    </row>
    <row r="471" spans="1:12" ht="15.75" customHeight="1">
      <c r="A471" s="214"/>
      <c r="B471" s="197"/>
      <c r="C471" s="197"/>
      <c r="D471" s="197"/>
      <c r="E471" s="197"/>
      <c r="F471" s="197"/>
      <c r="G471" s="26" t="str">
        <f ca="1">IFERROR(__xludf.DUMMYFUNCTION("IF(I471="""","""",FILTER(DATOS!$D$4:$D$237,DATOS!$B$4:$B$237=I471))"),"07-163")</f>
        <v>07-163</v>
      </c>
      <c r="H471" s="27" t="str">
        <f ca="1">IFERROR(__xludf.DUMMYFUNCTION("IF(I471="""","""",FILTER(DATOS!$C$4:$C$237,DATOS!$B$4:$B$237=I471))"),"BOSA")</f>
        <v>BOSA</v>
      </c>
      <c r="I471" s="37" t="s">
        <v>80</v>
      </c>
      <c r="J471" s="29" t="s">
        <v>18</v>
      </c>
      <c r="K471" s="30">
        <v>112944378</v>
      </c>
      <c r="L471" s="57"/>
    </row>
    <row r="472" spans="1:12" ht="15.75" customHeight="1">
      <c r="A472" s="214"/>
      <c r="B472" s="197"/>
      <c r="C472" s="197"/>
      <c r="D472" s="197"/>
      <c r="E472" s="197"/>
      <c r="F472" s="197"/>
      <c r="G472" s="26" t="str">
        <f ca="1">IFERROR(__xludf.DUMMYFUNCTION("IF(I472="""","""",FILTER(DATOS!$D$4:$D$237,DATOS!$B$4:$B$237=I472))"),"08-144")</f>
        <v>08-144</v>
      </c>
      <c r="H472" s="27" t="str">
        <f ca="1">IFERROR(__xludf.DUMMYFUNCTION("IF(I472="""","""",FILTER(DATOS!$C$4:$C$237,DATOS!$B$4:$B$237=I472))"),"KENNEDY")</f>
        <v>KENNEDY</v>
      </c>
      <c r="I472" s="35" t="s">
        <v>81</v>
      </c>
      <c r="J472" s="29" t="s">
        <v>18</v>
      </c>
      <c r="K472" s="30">
        <v>113333018</v>
      </c>
      <c r="L472" s="57"/>
    </row>
    <row r="473" spans="1:12" ht="15.75" customHeight="1">
      <c r="A473" s="214"/>
      <c r="B473" s="197"/>
      <c r="C473" s="197"/>
      <c r="D473" s="197"/>
      <c r="E473" s="197"/>
      <c r="F473" s="197"/>
      <c r="G473" s="26" t="str">
        <f ca="1">IFERROR(__xludf.DUMMYFUNCTION("IF(I473="""","""",FILTER(DATOS!$D$4:$D$237,DATOS!$B$4:$B$237=I473))"),"07-260")</f>
        <v>07-260</v>
      </c>
      <c r="H473" s="27" t="str">
        <f ca="1">IFERROR(__xludf.DUMMYFUNCTION("IF(I473="""","""",FILTER(DATOS!$C$4:$C$237,DATOS!$B$4:$B$237=I473))"),"BOSA")</f>
        <v>BOSA</v>
      </c>
      <c r="I473" s="35" t="s">
        <v>84</v>
      </c>
      <c r="J473" s="29" t="s">
        <v>18</v>
      </c>
      <c r="K473" s="30">
        <v>206855749</v>
      </c>
      <c r="L473" s="57"/>
    </row>
    <row r="474" spans="1:12" ht="15.75" customHeight="1">
      <c r="A474" s="214"/>
      <c r="B474" s="197"/>
      <c r="C474" s="197"/>
      <c r="D474" s="197"/>
      <c r="E474" s="197"/>
      <c r="F474" s="197"/>
      <c r="G474" s="26" t="str">
        <f ca="1">IFERROR(__xludf.DUMMYFUNCTION("IF(I474="""","""",FILTER(DATOS!$D$4:$D$237,DATOS!$B$4:$B$237=I474))"),"07-164")</f>
        <v>07-164</v>
      </c>
      <c r="H474" s="27" t="str">
        <f ca="1">IFERROR(__xludf.DUMMYFUNCTION("IF(I474="""","""",FILTER(DATOS!$C$4:$C$237,DATOS!$B$4:$B$237=I474))"),"BOSA")</f>
        <v>BOSA</v>
      </c>
      <c r="I474" s="28" t="s">
        <v>85</v>
      </c>
      <c r="J474" s="29" t="s">
        <v>18</v>
      </c>
      <c r="K474" s="30">
        <v>107102822</v>
      </c>
      <c r="L474" s="57"/>
    </row>
    <row r="475" spans="1:12" ht="15.75" customHeight="1">
      <c r="A475" s="214"/>
      <c r="B475" s="197"/>
      <c r="C475" s="197"/>
      <c r="D475" s="197"/>
      <c r="E475" s="197"/>
      <c r="F475" s="197"/>
      <c r="G475" s="26" t="str">
        <f ca="1">IFERROR(__xludf.DUMMYFUNCTION("IF(I475="""","""",FILTER(DATOS!$D$4:$D$237,DATOS!$B$4:$B$237=I475))"),"06-063")</f>
        <v>06-063</v>
      </c>
      <c r="H475" s="27" t="str">
        <f ca="1">IFERROR(__xludf.DUMMYFUNCTION("IF(I475="""","""",FILTER(DATOS!$C$4:$C$237,DATOS!$B$4:$B$237=I475))"),"TUNJUELITO")</f>
        <v>TUNJUELITO</v>
      </c>
      <c r="I475" s="37" t="s">
        <v>87</v>
      </c>
      <c r="J475" s="29" t="s">
        <v>18</v>
      </c>
      <c r="K475" s="30">
        <v>766189905</v>
      </c>
      <c r="L475" s="57"/>
    </row>
    <row r="476" spans="1:12" ht="15.75" customHeight="1">
      <c r="A476" s="214"/>
      <c r="B476" s="197"/>
      <c r="C476" s="197"/>
      <c r="D476" s="197"/>
      <c r="E476" s="197"/>
      <c r="F476" s="197"/>
      <c r="G476" s="26" t="str">
        <f ca="1">IFERROR(__xludf.DUMMYFUNCTION("IF(I476="""","""",FILTER(DATOS!$D$4:$D$237,DATOS!$B$4:$B$237=I476))"),"06-063")</f>
        <v>06-063</v>
      </c>
      <c r="H476" s="27" t="str">
        <f ca="1">IFERROR(__xludf.DUMMYFUNCTION("IF(I476="""","""",FILTER(DATOS!$C$4:$C$237,DATOS!$B$4:$B$237=I476))"),"TUNJUELITO")</f>
        <v>TUNJUELITO</v>
      </c>
      <c r="I476" s="37" t="s">
        <v>88</v>
      </c>
      <c r="J476" s="29" t="s">
        <v>18</v>
      </c>
      <c r="K476" s="30">
        <v>546482405</v>
      </c>
      <c r="L476" s="57"/>
    </row>
    <row r="477" spans="1:12" ht="15.75" customHeight="1">
      <c r="A477" s="214"/>
      <c r="B477" s="197"/>
      <c r="C477" s="197"/>
      <c r="D477" s="197"/>
      <c r="E477" s="197"/>
      <c r="F477" s="197"/>
      <c r="G477" s="26" t="str">
        <f ca="1">IFERROR(__xludf.DUMMYFUNCTION("IF(I477="""","""",FILTER(DATOS!$D$4:$D$237,DATOS!$B$4:$B$237=I477))"),"05-016")</f>
        <v>05-016</v>
      </c>
      <c r="H477" s="27" t="str">
        <f ca="1">IFERROR(__xludf.DUMMYFUNCTION("IF(I477="""","""",FILTER(DATOS!$C$4:$C$237,DATOS!$B$4:$B$237=I477))"),"USME")</f>
        <v>USME</v>
      </c>
      <c r="I477" s="28" t="s">
        <v>89</v>
      </c>
      <c r="J477" s="29" t="s">
        <v>18</v>
      </c>
      <c r="K477" s="30">
        <v>209705826</v>
      </c>
      <c r="L477" s="57"/>
    </row>
    <row r="478" spans="1:12" ht="15.75" customHeight="1">
      <c r="A478" s="214"/>
      <c r="B478" s="197"/>
      <c r="C478" s="197"/>
      <c r="D478" s="197"/>
      <c r="E478" s="197"/>
      <c r="F478" s="197"/>
      <c r="G478" s="26" t="str">
        <f ca="1">IFERROR(__xludf.DUMMYFUNCTION("IF(I478="""","""",FILTER(DATOS!$D$4:$D$237,DATOS!$B$4:$B$237=I478))"),"08-110")</f>
        <v>08-110</v>
      </c>
      <c r="H478" s="27" t="str">
        <f ca="1">IFERROR(__xludf.DUMMYFUNCTION("IF(I478="""","""",FILTER(DATOS!$C$4:$C$237,DATOS!$B$4:$B$237=I478))"),"KENNEDY")</f>
        <v>KENNEDY</v>
      </c>
      <c r="I478" s="35" t="s">
        <v>96</v>
      </c>
      <c r="J478" s="29" t="s">
        <v>18</v>
      </c>
      <c r="K478" s="30">
        <v>206855749</v>
      </c>
      <c r="L478" s="57"/>
    </row>
    <row r="479" spans="1:12" ht="15.75" customHeight="1">
      <c r="A479" s="214"/>
      <c r="B479" s="197"/>
      <c r="C479" s="197"/>
      <c r="D479" s="197"/>
      <c r="E479" s="197"/>
      <c r="F479" s="197"/>
      <c r="G479" s="26" t="str">
        <f ca="1">IFERROR(__xludf.DUMMYFUNCTION("IF(I479="""","""",FILTER(DATOS!$D$4:$D$237,DATOS!$B$4:$B$237=I479))"),"08-552")</f>
        <v>08-552</v>
      </c>
      <c r="H479" s="27" t="str">
        <f ca="1">IFERROR(__xludf.DUMMYFUNCTION("IF(I479="""","""",FILTER(DATOS!$C$4:$C$237,DATOS!$B$4:$B$237=I479))"),"KENNEDY")</f>
        <v>KENNEDY</v>
      </c>
      <c r="I479" s="37" t="s">
        <v>97</v>
      </c>
      <c r="J479" s="29" t="s">
        <v>18</v>
      </c>
      <c r="K479" s="30">
        <v>476820043</v>
      </c>
      <c r="L479" s="57"/>
    </row>
    <row r="480" spans="1:12" ht="15.75" customHeight="1">
      <c r="A480" s="214"/>
      <c r="B480" s="197"/>
      <c r="C480" s="197"/>
      <c r="D480" s="197"/>
      <c r="E480" s="197"/>
      <c r="F480" s="197"/>
      <c r="G480" s="26" t="str">
        <f ca="1">IFERROR(__xludf.DUMMYFUNCTION("IF(I480="""","""",FILTER(DATOS!$D$4:$D$237,DATOS!$B$4:$B$237=I480))"),"18-457")</f>
        <v>18-457</v>
      </c>
      <c r="H480" s="27" t="str">
        <f ca="1">IFERROR(__xludf.DUMMYFUNCTION("IF(I480="""","""",FILTER(DATOS!$C$4:$C$237,DATOS!$B$4:$B$237=I480))"),"RAFAEL URIBE")</f>
        <v>RAFAEL URIBE</v>
      </c>
      <c r="I480" s="28" t="s">
        <v>114</v>
      </c>
      <c r="J480" s="29" t="s">
        <v>18</v>
      </c>
      <c r="K480" s="30">
        <v>107102822</v>
      </c>
      <c r="L480" s="57"/>
    </row>
    <row r="481" spans="1:12" ht="15.75" customHeight="1">
      <c r="A481" s="214"/>
      <c r="B481" s="197"/>
      <c r="C481" s="197"/>
      <c r="D481" s="197"/>
      <c r="E481" s="197"/>
      <c r="F481" s="197"/>
      <c r="G481" s="26" t="str">
        <f ca="1">IFERROR(__xludf.DUMMYFUNCTION("IF(I481="""","""",FILTER(DATOS!$D$4:$D$237,DATOS!$B$4:$B$237=I481))"),"19-346")</f>
        <v>19-346</v>
      </c>
      <c r="H481" s="27" t="str">
        <f ca="1">IFERROR(__xludf.DUMMYFUNCTION("IF(I481="""","""",FILTER(DATOS!$C$4:$C$237,DATOS!$B$4:$B$237=I481))"),"CIUDAD BOLIVAR")</f>
        <v>CIUDAD BOLIVAR</v>
      </c>
      <c r="I481" s="28" t="s">
        <v>99</v>
      </c>
      <c r="J481" s="29" t="s">
        <v>18</v>
      </c>
      <c r="K481" s="30">
        <v>217483175</v>
      </c>
      <c r="L481" s="57"/>
    </row>
    <row r="482" spans="1:12" ht="15.75" customHeight="1">
      <c r="A482" s="214"/>
      <c r="B482" s="197"/>
      <c r="C482" s="197"/>
      <c r="D482" s="197"/>
      <c r="E482" s="197"/>
      <c r="F482" s="197"/>
      <c r="G482" s="26" t="str">
        <f ca="1">IFERROR(__xludf.DUMMYFUNCTION("IF(I482="""","""",FILTER(DATOS!$D$4:$D$237,DATOS!$B$4:$B$237=I482))"),"08-355")</f>
        <v>08-355</v>
      </c>
      <c r="H482" s="27" t="str">
        <f ca="1">IFERROR(__xludf.DUMMYFUNCTION("IF(I482="""","""",FILTER(DATOS!$C$4:$C$237,DATOS!$B$4:$B$237=I482))"),"KENNEDY")</f>
        <v>KENNEDY</v>
      </c>
      <c r="I482" s="28" t="s">
        <v>100</v>
      </c>
      <c r="J482" s="29" t="s">
        <v>18</v>
      </c>
      <c r="K482" s="30">
        <v>104252745</v>
      </c>
      <c r="L482" s="57"/>
    </row>
    <row r="483" spans="1:12" ht="15.75" customHeight="1">
      <c r="A483" s="214"/>
      <c r="B483" s="197"/>
      <c r="C483" s="197"/>
      <c r="D483" s="197"/>
      <c r="E483" s="197"/>
      <c r="F483" s="197"/>
      <c r="G483" s="26" t="str">
        <f ca="1">IFERROR(__xludf.DUMMYFUNCTION("IF(I483="""","""",FILTER(DATOS!$D$4:$D$237,DATOS!$B$4:$B$237=I483))"),"05-002")</f>
        <v>05-002</v>
      </c>
      <c r="H483" s="27" t="str">
        <f ca="1">IFERROR(__xludf.DUMMYFUNCTION("IF(I483="""","""",FILTER(DATOS!$C$4:$C$237,DATOS!$B$4:$B$237=I483))"),"USME")</f>
        <v>USME</v>
      </c>
      <c r="I483" s="37" t="s">
        <v>102</v>
      </c>
      <c r="J483" s="29" t="s">
        <v>18</v>
      </c>
      <c r="K483" s="30">
        <v>104252745</v>
      </c>
      <c r="L483" s="57"/>
    </row>
    <row r="484" spans="1:12" ht="15.75" customHeight="1">
      <c r="A484" s="214"/>
      <c r="B484" s="197"/>
      <c r="C484" s="197"/>
      <c r="D484" s="197"/>
      <c r="E484" s="197"/>
      <c r="F484" s="197"/>
      <c r="G484" s="26" t="str">
        <f ca="1">IFERROR(__xludf.DUMMYFUNCTION("IF(I484="""","""",FILTER(DATOS!$D$4:$D$237,DATOS!$B$4:$B$237=I484))"),"05-004")</f>
        <v>05-004</v>
      </c>
      <c r="H484" s="27" t="str">
        <f ca="1">IFERROR(__xludf.DUMMYFUNCTION("IF(I484="""","""",FILTER(DATOS!$C$4:$C$237,DATOS!$B$4:$B$237=I484))"),"USME")</f>
        <v>USME</v>
      </c>
      <c r="I484" s="37" t="s">
        <v>101</v>
      </c>
      <c r="J484" s="29" t="s">
        <v>18</v>
      </c>
      <c r="K484" s="30">
        <v>104252745</v>
      </c>
      <c r="L484" s="57"/>
    </row>
    <row r="485" spans="1:12" ht="15.75" customHeight="1">
      <c r="A485" s="214"/>
      <c r="B485" s="197"/>
      <c r="C485" s="197"/>
      <c r="D485" s="197"/>
      <c r="E485" s="197"/>
      <c r="F485" s="197"/>
      <c r="G485" s="26" t="str">
        <f ca="1">IFERROR(__xludf.DUMMYFUNCTION("IF(I485="""","""",FILTER(DATOS!$D$4:$D$237,DATOS!$B$4:$B$237=I485))"),"07-273")</f>
        <v>07-273</v>
      </c>
      <c r="H485" s="27" t="str">
        <f ca="1">IFERROR(__xludf.DUMMYFUNCTION("IF(I485="""","""",FILTER(DATOS!$C$4:$C$237,DATOS!$B$4:$B$237=I485))"),"BOSA")</f>
        <v>BOSA</v>
      </c>
      <c r="I485" s="37" t="s">
        <v>103</v>
      </c>
      <c r="J485" s="29" t="s">
        <v>18</v>
      </c>
      <c r="K485" s="30">
        <v>120363618</v>
      </c>
      <c r="L485" s="57"/>
    </row>
    <row r="486" spans="1:12" ht="15.75" customHeight="1">
      <c r="A486" s="214"/>
      <c r="B486" s="197"/>
      <c r="C486" s="197"/>
      <c r="D486" s="197"/>
      <c r="E486" s="197"/>
      <c r="F486" s="197"/>
      <c r="G486" s="26" t="str">
        <f ca="1">IFERROR(__xludf.DUMMYFUNCTION("IF(I486="""","""",FILTER(DATOS!$D$4:$D$237,DATOS!$B$4:$B$237=I486))"),"19-231")</f>
        <v>19-231</v>
      </c>
      <c r="H486" s="27" t="str">
        <f ca="1">IFERROR(__xludf.DUMMYFUNCTION("IF(I486="""","""",FILTER(DATOS!$C$4:$C$237,DATOS!$B$4:$B$237=I486))"),"CIUDAD BOLIVAR")</f>
        <v>CIUDAD BOLIVAR</v>
      </c>
      <c r="I486" s="37" t="s">
        <v>104</v>
      </c>
      <c r="J486" s="29" t="s">
        <v>18</v>
      </c>
      <c r="K486" s="30">
        <v>110873289</v>
      </c>
      <c r="L486" s="57"/>
    </row>
    <row r="487" spans="1:12" ht="15.75" customHeight="1">
      <c r="A487" s="214"/>
      <c r="B487" s="197"/>
      <c r="C487" s="197"/>
      <c r="D487" s="197"/>
      <c r="E487" s="197"/>
      <c r="F487" s="197"/>
      <c r="G487" s="26" t="str">
        <f ca="1">IFERROR(__xludf.DUMMYFUNCTION("IF(I487="""","""",FILTER(DATOS!$D$4:$D$237,DATOS!$B$4:$B$237=I487))"),"07-165")</f>
        <v>07-165</v>
      </c>
      <c r="H487" s="27" t="str">
        <f ca="1">IFERROR(__xludf.DUMMYFUNCTION("IF(I487="""","""",FILTER(DATOS!$C$4:$C$237,DATOS!$B$4:$B$237=I487))"),"BOSA")</f>
        <v>BOSA</v>
      </c>
      <c r="I487" s="37" t="s">
        <v>107</v>
      </c>
      <c r="J487" s="29" t="s">
        <v>18</v>
      </c>
      <c r="K487" s="30">
        <v>104447919</v>
      </c>
      <c r="L487" s="57"/>
    </row>
    <row r="488" spans="1:12" ht="15.75" customHeight="1">
      <c r="A488" s="214"/>
      <c r="B488" s="197"/>
      <c r="C488" s="197"/>
      <c r="D488" s="197"/>
      <c r="E488" s="197"/>
      <c r="F488" s="197"/>
      <c r="G488" s="26" t="str">
        <f ca="1">IFERROR(__xludf.DUMMYFUNCTION("IF(I488="""","""",FILTER(DATOS!$D$4:$D$237,DATOS!$B$4:$B$237=I488))"),"19-230")</f>
        <v>19-230</v>
      </c>
      <c r="H488" s="27" t="str">
        <f ca="1">IFERROR(__xludf.DUMMYFUNCTION("IF(I488="""","""",FILTER(DATOS!$C$4:$C$237,DATOS!$B$4:$B$237=I488))"),"CIUDAD BOLIVAR")</f>
        <v>CIUDAD BOLIVAR</v>
      </c>
      <c r="I488" s="28" t="s">
        <v>111</v>
      </c>
      <c r="J488" s="29" t="s">
        <v>18</v>
      </c>
      <c r="K488" s="30">
        <v>150194262</v>
      </c>
      <c r="L488" s="57"/>
    </row>
    <row r="489" spans="1:12" ht="15.75" customHeight="1">
      <c r="A489" s="214"/>
      <c r="B489" s="197"/>
      <c r="C489" s="197"/>
      <c r="D489" s="197"/>
      <c r="E489" s="197"/>
      <c r="F489" s="197"/>
      <c r="G489" s="26" t="str">
        <f ca="1">IFERROR(__xludf.DUMMYFUNCTION("IF(I489="""","""",FILTER(DATOS!$D$4:$D$237,DATOS!$B$4:$B$237=I489))"),"18-162")</f>
        <v>18-162</v>
      </c>
      <c r="H489" s="27" t="str">
        <f ca="1">IFERROR(__xludf.DUMMYFUNCTION("IF(I489="""","""",FILTER(DATOS!$C$4:$C$237,DATOS!$B$4:$B$237=I489))"),"RAFAEL URIBE")</f>
        <v>RAFAEL URIBE</v>
      </c>
      <c r="I489" s="28" t="s">
        <v>113</v>
      </c>
      <c r="J489" s="29" t="s">
        <v>18</v>
      </c>
      <c r="K489" s="30">
        <v>113333018</v>
      </c>
      <c r="L489" s="57"/>
    </row>
    <row r="490" spans="1:12" ht="15.75" customHeight="1">
      <c r="A490" s="214"/>
      <c r="B490" s="197"/>
      <c r="C490" s="197"/>
      <c r="D490" s="197"/>
      <c r="E490" s="197"/>
      <c r="F490" s="197"/>
      <c r="G490" s="26" t="str">
        <f ca="1">IFERROR(__xludf.DUMMYFUNCTION("IF(I490="""","""",FILTER(DATOS!$D$4:$D$237,DATOS!$B$4:$B$237=I490))"),"19-788")</f>
        <v>19-788</v>
      </c>
      <c r="H490" s="27" t="str">
        <f ca="1">IFERROR(__xludf.DUMMYFUNCTION("IF(I490="""","""",FILTER(DATOS!$C$4:$C$237,DATOS!$B$4:$B$237=I490))"),"CIUDAD BOLIVAR")</f>
        <v>CIUDAD BOLIVAR</v>
      </c>
      <c r="I490" s="28" t="s">
        <v>139</v>
      </c>
      <c r="J490" s="29" t="s">
        <v>18</v>
      </c>
      <c r="K490" s="30">
        <v>107102822</v>
      </c>
      <c r="L490" s="57"/>
    </row>
    <row r="491" spans="1:12" ht="15.75" customHeight="1">
      <c r="A491" s="214"/>
      <c r="B491" s="197"/>
      <c r="C491" s="197"/>
      <c r="D491" s="197"/>
      <c r="E491" s="197"/>
      <c r="F491" s="197"/>
      <c r="G491" s="26" t="str">
        <f ca="1">IFERROR(__xludf.DUMMYFUNCTION("IF(I491="""","""",FILTER(DATOS!$D$4:$D$237,DATOS!$B$4:$B$237=I491))"),"07-035")</f>
        <v>07-035</v>
      </c>
      <c r="H491" s="27" t="str">
        <f ca="1">IFERROR(__xludf.DUMMYFUNCTION("IF(I491="""","""",FILTER(DATOS!$C$4:$C$237,DATOS!$B$4:$B$237=I491))"),"BOSA")</f>
        <v>BOSA</v>
      </c>
      <c r="I491" s="37" t="s">
        <v>116</v>
      </c>
      <c r="J491" s="29" t="s">
        <v>18</v>
      </c>
      <c r="K491" s="30">
        <v>156619632</v>
      </c>
      <c r="L491" s="57"/>
    </row>
    <row r="492" spans="1:12" ht="15.75" customHeight="1">
      <c r="A492" s="214"/>
      <c r="B492" s="197"/>
      <c r="C492" s="197"/>
      <c r="D492" s="197"/>
      <c r="E492" s="197"/>
      <c r="F492" s="197"/>
      <c r="G492" s="26" t="str">
        <f ca="1">IFERROR(__xludf.DUMMYFUNCTION("IF(I492="""","""",FILTER(DATOS!$D$4:$D$237,DATOS!$B$4:$B$237=I492))"),"06-017")</f>
        <v>06-017</v>
      </c>
      <c r="H492" s="27" t="str">
        <f ca="1">IFERROR(__xludf.DUMMYFUNCTION("IF(I492="""","""",FILTER(DATOS!$C$4:$C$237,DATOS!$B$4:$B$237=I492))"),"TUNJUELITO")</f>
        <v>TUNJUELITO</v>
      </c>
      <c r="I492" s="28" t="s">
        <v>117</v>
      </c>
      <c r="J492" s="29" t="s">
        <v>18</v>
      </c>
      <c r="K492" s="30">
        <v>110482941</v>
      </c>
      <c r="L492" s="57"/>
    </row>
    <row r="493" spans="1:12" ht="15.75" customHeight="1">
      <c r="A493" s="214"/>
      <c r="B493" s="197"/>
      <c r="C493" s="197"/>
      <c r="D493" s="197"/>
      <c r="E493" s="197"/>
      <c r="F493" s="197"/>
      <c r="G493" s="26" t="str">
        <f ca="1">IFERROR(__xludf.DUMMYFUNCTION("IF(I493="""","""",FILTER(DATOS!$D$4:$D$237,DATOS!$B$4:$B$237=I493))"),"08-034")</f>
        <v>08-034</v>
      </c>
      <c r="H493" s="27" t="str">
        <f ca="1">IFERROR(__xludf.DUMMYFUNCTION("IF(I493="""","""",FILTER(DATOS!$C$4:$C$237,DATOS!$B$4:$B$237=I493))"),"KENNEDY")</f>
        <v>KENNEDY</v>
      </c>
      <c r="I493" s="28" t="s">
        <v>118</v>
      </c>
      <c r="J493" s="29" t="s">
        <v>18</v>
      </c>
      <c r="K493" s="30">
        <v>129302539</v>
      </c>
      <c r="L493" s="57"/>
    </row>
    <row r="494" spans="1:12" ht="15.75" customHeight="1">
      <c r="A494" s="214"/>
      <c r="B494" s="197"/>
      <c r="C494" s="197"/>
      <c r="D494" s="197"/>
      <c r="E494" s="197"/>
      <c r="F494" s="197"/>
      <c r="G494" s="26" t="str">
        <f ca="1">IFERROR(__xludf.DUMMYFUNCTION("IF(I494="""","""",FILTER(DATOS!$D$4:$D$237,DATOS!$B$4:$B$237=I494))"),"07-152")</f>
        <v>07-152</v>
      </c>
      <c r="H494" s="27" t="str">
        <f ca="1">IFERROR(__xludf.DUMMYFUNCTION("IF(I494="""","""",FILTER(DATOS!$C$4:$C$237,DATOS!$B$4:$B$237=I494))"),"BOSA")</f>
        <v>BOSA</v>
      </c>
      <c r="I494" s="28" t="s">
        <v>92</v>
      </c>
      <c r="J494" s="29" t="s">
        <v>18</v>
      </c>
      <c r="K494" s="30">
        <v>153044339</v>
      </c>
      <c r="L494" s="57"/>
    </row>
    <row r="495" spans="1:12" ht="15.75" customHeight="1">
      <c r="A495" s="214"/>
      <c r="B495" s="197"/>
      <c r="C495" s="197"/>
      <c r="D495" s="197"/>
      <c r="E495" s="197"/>
      <c r="F495" s="197"/>
      <c r="G495" s="26" t="str">
        <f ca="1">IFERROR(__xludf.DUMMYFUNCTION("IF(I495="""","""",FILTER(DATOS!$D$4:$D$237,DATOS!$B$4:$B$237=I495))"),"08-791")</f>
        <v>08-791</v>
      </c>
      <c r="H495" s="27" t="str">
        <f ca="1">IFERROR(__xludf.DUMMYFUNCTION("IF(I495="""","""",FILTER(DATOS!$C$4:$C$237,DATOS!$B$4:$B$237=I495))"),"KENNEDY")</f>
        <v>KENNEDY</v>
      </c>
      <c r="I495" s="37" t="s">
        <v>125</v>
      </c>
      <c r="J495" s="29" t="s">
        <v>18</v>
      </c>
      <c r="K495" s="30">
        <v>113610849</v>
      </c>
      <c r="L495" s="57"/>
    </row>
    <row r="496" spans="1:12" ht="15.75" customHeight="1">
      <c r="A496" s="214"/>
      <c r="B496" s="197"/>
      <c r="C496" s="197"/>
      <c r="D496" s="197"/>
      <c r="E496" s="197"/>
      <c r="F496" s="197"/>
      <c r="G496" s="26" t="str">
        <f ca="1">IFERROR(__xludf.DUMMYFUNCTION("IF(I496="""","""",FILTER(DATOS!$D$4:$D$237,DATOS!$B$4:$B$237=I496))"),"18-073")</f>
        <v>18-073</v>
      </c>
      <c r="H496" s="27" t="str">
        <f ca="1">IFERROR(__xludf.DUMMYFUNCTION("IF(I496="""","""",FILTER(DATOS!$C$4:$C$237,DATOS!$B$4:$B$237=I496))"),"RAFAEL URIBE")</f>
        <v>RAFAEL URIBE</v>
      </c>
      <c r="I496" s="37" t="s">
        <v>126</v>
      </c>
      <c r="J496" s="29" t="s">
        <v>18</v>
      </c>
      <c r="K496" s="30">
        <v>104252745</v>
      </c>
      <c r="L496" s="57"/>
    </row>
    <row r="497" spans="1:12" ht="15.75" customHeight="1">
      <c r="A497" s="214"/>
      <c r="B497" s="197"/>
      <c r="C497" s="197"/>
      <c r="D497" s="197"/>
      <c r="E497" s="197"/>
      <c r="F497" s="197"/>
      <c r="G497" s="26" t="str">
        <f ca="1">IFERROR(__xludf.DUMMYFUNCTION("IF(I497="""","""",FILTER(DATOS!$D$4:$D$237,DATOS!$B$4:$B$237=I497))"),"18-073")</f>
        <v>18-073</v>
      </c>
      <c r="H497" s="27" t="str">
        <f ca="1">IFERROR(__xludf.DUMMYFUNCTION("IF(I497="""","""",FILTER(DATOS!$C$4:$C$237,DATOS!$B$4:$B$237=I497))"),"RAFAEL URIBE")</f>
        <v>RAFAEL URIBE</v>
      </c>
      <c r="I497" s="37" t="s">
        <v>126</v>
      </c>
      <c r="J497" s="29" t="s">
        <v>18</v>
      </c>
      <c r="K497" s="30">
        <v>196815458</v>
      </c>
      <c r="L497" s="57"/>
    </row>
    <row r="498" spans="1:12" ht="15.75" customHeight="1">
      <c r="A498" s="214"/>
      <c r="B498" s="197"/>
      <c r="C498" s="197"/>
      <c r="D498" s="197"/>
      <c r="E498" s="197"/>
      <c r="F498" s="197"/>
      <c r="G498" s="26" t="str">
        <f ca="1">IFERROR(__xludf.DUMMYFUNCTION("IF(I498="""","""",FILTER(DATOS!$D$4:$D$237,DATOS!$B$4:$B$237=I498))"),"19-190")</f>
        <v>19-190</v>
      </c>
      <c r="H498" s="27" t="str">
        <f ca="1">IFERROR(__xludf.DUMMYFUNCTION("IF(I498="""","""",FILTER(DATOS!$C$4:$C$237,DATOS!$B$4:$B$237=I498))"),"CIUDAD BOLIVAR")</f>
        <v>CIUDAD BOLIVAR</v>
      </c>
      <c r="I498" s="35" t="s">
        <v>127</v>
      </c>
      <c r="J498" s="29" t="s">
        <v>18</v>
      </c>
      <c r="K498" s="30">
        <v>206855749</v>
      </c>
      <c r="L498" s="57"/>
    </row>
    <row r="499" spans="1:12" ht="15.75" customHeight="1">
      <c r="A499" s="214"/>
      <c r="B499" s="197"/>
      <c r="C499" s="197"/>
      <c r="D499" s="197"/>
      <c r="E499" s="197"/>
      <c r="F499" s="197"/>
      <c r="G499" s="26" t="str">
        <f ca="1">IFERROR(__xludf.DUMMYFUNCTION("IF(I499="""","""",FILTER(DATOS!$D$4:$D$237,DATOS!$B$4:$B$237=I499))"),"19-348")</f>
        <v>19-348</v>
      </c>
      <c r="H499" s="27" t="str">
        <f ca="1">IFERROR(__xludf.DUMMYFUNCTION("IF(I499="""","""",FILTER(DATOS!$C$4:$C$237,DATOS!$B$4:$B$237=I499))"),"CIUDAD BOLIVAR")</f>
        <v>CIUDAD BOLIVAR</v>
      </c>
      <c r="I499" s="35" t="s">
        <v>128</v>
      </c>
      <c r="J499" s="29" t="s">
        <v>18</v>
      </c>
      <c r="K499" s="30">
        <v>118274529</v>
      </c>
      <c r="L499" s="57"/>
    </row>
    <row r="500" spans="1:12" ht="15.75" customHeight="1">
      <c r="A500" s="214"/>
      <c r="B500" s="197"/>
      <c r="C500" s="197"/>
      <c r="D500" s="197"/>
      <c r="E500" s="197"/>
      <c r="F500" s="197"/>
      <c r="G500" s="26" t="str">
        <f ca="1">IFERROR(__xludf.DUMMYFUNCTION("IF(I500="""","""",FILTER(DATOS!$D$4:$D$237,DATOS!$B$4:$B$237=I500))"),"07-391")</f>
        <v>07-391</v>
      </c>
      <c r="H500" s="27" t="str">
        <f ca="1">IFERROR(__xludf.DUMMYFUNCTION("IF(I500="""","""",FILTER(DATOS!$C$4:$C$237,DATOS!$B$4:$B$237=I500))"),"BOSA")</f>
        <v>BOSA</v>
      </c>
      <c r="I500" s="35" t="s">
        <v>119</v>
      </c>
      <c r="J500" s="29" t="s">
        <v>18</v>
      </c>
      <c r="K500" s="30">
        <v>463703428</v>
      </c>
      <c r="L500" s="57"/>
    </row>
    <row r="501" spans="1:12" ht="15.75" customHeight="1">
      <c r="A501" s="214"/>
      <c r="B501" s="197"/>
      <c r="C501" s="197"/>
      <c r="D501" s="197"/>
      <c r="E501" s="197"/>
      <c r="F501" s="197"/>
      <c r="G501" s="26" t="str">
        <f ca="1">IFERROR(__xludf.DUMMYFUNCTION("IF(I501="""","""",FILTER(DATOS!$D$4:$D$237,DATOS!$B$4:$B$237=I501))"),"07-274")</f>
        <v>07-274</v>
      </c>
      <c r="H501" s="27" t="str">
        <f ca="1">IFERROR(__xludf.DUMMYFUNCTION("IF(I501="""","""",FILTER(DATOS!$C$4:$C$237,DATOS!$B$4:$B$237=I501))"),"BOSA")</f>
        <v>BOSA</v>
      </c>
      <c r="I501" s="35" t="s">
        <v>130</v>
      </c>
      <c r="J501" s="29" t="s">
        <v>18</v>
      </c>
      <c r="K501" s="30">
        <v>107102822</v>
      </c>
      <c r="L501" s="57"/>
    </row>
    <row r="502" spans="1:12" ht="15.75" customHeight="1">
      <c r="A502" s="214"/>
      <c r="B502" s="197"/>
      <c r="C502" s="197"/>
      <c r="D502" s="197"/>
      <c r="E502" s="197"/>
      <c r="F502" s="197"/>
      <c r="G502" s="26" t="str">
        <f ca="1">IFERROR(__xludf.DUMMYFUNCTION("IF(I502="""","""",FILTER(DATOS!$D$4:$D$237,DATOS!$B$4:$B$237=I502))"),"08-219")</f>
        <v>08-219</v>
      </c>
      <c r="H502" s="27" t="str">
        <f ca="1">IFERROR(__xludf.DUMMYFUNCTION("IF(I502="""","""",FILTER(DATOS!$C$4:$C$237,DATOS!$B$4:$B$237=I502))"),"KENNEDY")</f>
        <v>KENNEDY</v>
      </c>
      <c r="I502" s="35" t="s">
        <v>132</v>
      </c>
      <c r="J502" s="29" t="s">
        <v>18</v>
      </c>
      <c r="K502" s="30">
        <v>480900298</v>
      </c>
      <c r="L502" s="57"/>
    </row>
    <row r="503" spans="1:12" ht="15.75" customHeight="1">
      <c r="A503" s="214"/>
      <c r="B503" s="197"/>
      <c r="C503" s="197"/>
      <c r="D503" s="197"/>
      <c r="E503" s="197"/>
      <c r="F503" s="197"/>
      <c r="G503" s="26" t="str">
        <f ca="1">IFERROR(__xludf.DUMMYFUNCTION("IF(I503="""","""",FILTER(DATOS!$D$4:$D$237,DATOS!$B$4:$B$237=I503))"),"05-003")</f>
        <v>05-003</v>
      </c>
      <c r="H503" s="27" t="str">
        <f ca="1">IFERROR(__xludf.DUMMYFUNCTION("IF(I503="""","""",FILTER(DATOS!$C$4:$C$237,DATOS!$B$4:$B$237=I503))"),"USME")</f>
        <v>USME</v>
      </c>
      <c r="I503" s="35" t="s">
        <v>133</v>
      </c>
      <c r="J503" s="29" t="s">
        <v>18</v>
      </c>
      <c r="K503" s="30">
        <v>104252745</v>
      </c>
      <c r="L503" s="57"/>
    </row>
    <row r="504" spans="1:12" ht="15.75" customHeight="1">
      <c r="A504" s="214"/>
      <c r="B504" s="197"/>
      <c r="C504" s="197"/>
      <c r="D504" s="197"/>
      <c r="E504" s="197"/>
      <c r="F504" s="197"/>
      <c r="G504" s="26" t="str">
        <f ca="1">IFERROR(__xludf.DUMMYFUNCTION("IF(I504="""","""",FILTER(DATOS!$D$4:$D$237,DATOS!$B$4:$B$237=I504))"),"05-087")</f>
        <v>05-087</v>
      </c>
      <c r="H504" s="27" t="str">
        <f ca="1">IFERROR(__xludf.DUMMYFUNCTION("IF(I504="""","""",FILTER(DATOS!$C$4:$C$237,DATOS!$B$4:$B$237=I504))"),"USME")</f>
        <v>USME</v>
      </c>
      <c r="I504" s="35" t="s">
        <v>135</v>
      </c>
      <c r="J504" s="29" t="s">
        <v>18</v>
      </c>
      <c r="K504" s="30">
        <v>107102822</v>
      </c>
      <c r="L504" s="57"/>
    </row>
    <row r="505" spans="1:12" ht="15.75" customHeight="1">
      <c r="A505" s="214"/>
      <c r="B505" s="197"/>
      <c r="C505" s="197"/>
      <c r="D505" s="197"/>
      <c r="E505" s="197"/>
      <c r="F505" s="197"/>
      <c r="G505" s="26" t="str">
        <f ca="1">IFERROR(__xludf.DUMMYFUNCTION("IF(I505="""","""",FILTER(DATOS!$D$4:$D$237,DATOS!$B$4:$B$237=I505))"),"07-036")</f>
        <v>07-036</v>
      </c>
      <c r="H505" s="27" t="str">
        <f ca="1">IFERROR(__xludf.DUMMYFUNCTION("IF(I505="""","""",FILTER(DATOS!$C$4:$C$237,DATOS!$B$4:$B$237=I505))"),"BOSA")</f>
        <v>BOSA</v>
      </c>
      <c r="I505" s="35" t="s">
        <v>131</v>
      </c>
      <c r="J505" s="29" t="s">
        <v>18</v>
      </c>
      <c r="K505" s="30">
        <v>198862225</v>
      </c>
      <c r="L505" s="57"/>
    </row>
    <row r="506" spans="1:12" ht="15.75" customHeight="1" thickBot="1">
      <c r="A506" s="186"/>
      <c r="B506" s="191"/>
      <c r="C506" s="191"/>
      <c r="D506" s="191"/>
      <c r="E506" s="191"/>
      <c r="F506" s="191"/>
      <c r="G506" s="42"/>
      <c r="H506" s="43"/>
      <c r="I506" s="44"/>
      <c r="J506" s="45"/>
      <c r="K506" s="74"/>
      <c r="L506" s="57"/>
    </row>
    <row r="507" spans="1:12" ht="39" customHeight="1" thickBot="1">
      <c r="A507" s="232" t="s">
        <v>176</v>
      </c>
      <c r="B507" s="206"/>
      <c r="C507" s="206"/>
      <c r="D507" s="206"/>
      <c r="E507" s="206"/>
      <c r="F507" s="229"/>
      <c r="G507" s="75" t="s">
        <v>11</v>
      </c>
      <c r="H507" s="75" t="s">
        <v>12</v>
      </c>
      <c r="I507" s="75" t="s">
        <v>13</v>
      </c>
      <c r="J507" s="75" t="s">
        <v>14</v>
      </c>
      <c r="K507" s="76" t="s">
        <v>15</v>
      </c>
      <c r="L507" s="57"/>
    </row>
    <row r="508" spans="1:12" ht="20.25" customHeight="1">
      <c r="A508" s="226" t="s">
        <v>177</v>
      </c>
      <c r="B508" s="227" t="s">
        <v>178</v>
      </c>
      <c r="C508" s="227" t="s">
        <v>179</v>
      </c>
      <c r="D508" s="230">
        <v>45125</v>
      </c>
      <c r="E508" s="230">
        <v>45643</v>
      </c>
      <c r="F508" s="231">
        <v>1</v>
      </c>
      <c r="G508" s="21" t="str">
        <f ca="1">IFERROR(__xludf.DUMMYFUNCTION("IF(I508="""","""",FILTER(DATOS!$D$4:$D$237,DATOS!$B$4:$B$237=I508))"),"13-122")</f>
        <v>13-122</v>
      </c>
      <c r="H508" s="21" t="str">
        <f ca="1">IFERROR(__xludf.DUMMYFUNCTION("IF(I508="""","""",FILTER(DATOS!$C$4:$C$237,DATOS!$B$4:$B$237=I508))"),"TEUSAQUILLO")</f>
        <v>TEUSAQUILLO</v>
      </c>
      <c r="I508" s="77" t="s">
        <v>32</v>
      </c>
      <c r="J508" s="78" t="s">
        <v>180</v>
      </c>
      <c r="K508" s="25">
        <v>162575218</v>
      </c>
      <c r="L508" s="57">
        <v>972124093</v>
      </c>
    </row>
    <row r="509" spans="1:12" ht="20.25" customHeight="1">
      <c r="A509" s="214"/>
      <c r="B509" s="228"/>
      <c r="C509" s="228"/>
      <c r="D509" s="228"/>
      <c r="E509" s="228"/>
      <c r="F509" s="228"/>
      <c r="G509" s="26" t="str">
        <f ca="1">IFERROR(__xludf.DUMMYFUNCTION("IF(I509="""","""",FILTER(DATOS!$D$4:$D$237,DATOS!$B$4:$B$237=I509))"),"13-123")</f>
        <v>13-123</v>
      </c>
      <c r="H509" s="26" t="str">
        <f ca="1">IFERROR(__xludf.DUMMYFUNCTION("IF(I509="""","""",FILTER(DATOS!$C$4:$C$237,DATOS!$B$4:$B$237=I509))"),"TEUSAQUILLO")</f>
        <v>TEUSAQUILLO</v>
      </c>
      <c r="I509" s="35" t="s">
        <v>23</v>
      </c>
      <c r="J509" s="36" t="s">
        <v>180</v>
      </c>
      <c r="K509" s="30">
        <v>53547114</v>
      </c>
      <c r="L509" s="57"/>
    </row>
    <row r="510" spans="1:12" ht="46.5" customHeight="1">
      <c r="A510" s="214"/>
      <c r="B510" s="228"/>
      <c r="C510" s="228"/>
      <c r="D510" s="228"/>
      <c r="E510" s="228"/>
      <c r="F510" s="228"/>
      <c r="G510" s="26" t="str">
        <f ca="1">IFERROR(__xludf.DUMMYFUNCTION("IF(I510="""","""",FILTER(DATOS!$D$4:$D$237,DATOS!$B$4:$B$237=I510))"),"18-207")</f>
        <v>18-207</v>
      </c>
      <c r="H510" s="26" t="str">
        <f ca="1">IFERROR(__xludf.DUMMYFUNCTION("IF(I510="""","""",FILTER(DATOS!$C$4:$C$237,DATOS!$B$4:$B$237=I510))"),"RAFAEL URIBE")</f>
        <v>RAFAEL URIBE</v>
      </c>
      <c r="I510" s="35" t="s">
        <v>93</v>
      </c>
      <c r="J510" s="36" t="s">
        <v>180</v>
      </c>
      <c r="K510" s="30">
        <v>155434539</v>
      </c>
      <c r="L510" s="57"/>
    </row>
    <row r="511" spans="1:12" ht="42" customHeight="1" thickBot="1">
      <c r="A511" s="186"/>
      <c r="B511" s="229"/>
      <c r="C511" s="229"/>
      <c r="D511" s="229"/>
      <c r="E511" s="229"/>
      <c r="F511" s="229"/>
      <c r="G511" s="42" t="str">
        <f ca="1">IFERROR(__xludf.DUMMYFUNCTION("IF(I511="""","""",FILTER(DATOS!$D$4:$D$237,DATOS!$B$4:$B$237=I511))"),"08-554")</f>
        <v>08-554</v>
      </c>
      <c r="H511" s="42" t="str">
        <f ca="1">IFERROR(__xludf.DUMMYFUNCTION("IF(I511="""","""",FILTER(DATOS!$C$4:$C$237,DATOS!$B$4:$B$237=I511))"),"KENNEDY")</f>
        <v>KENNEDY</v>
      </c>
      <c r="I511" s="44" t="s">
        <v>90</v>
      </c>
      <c r="J511" s="79" t="s">
        <v>180</v>
      </c>
      <c r="K511" s="46">
        <v>311856350</v>
      </c>
      <c r="L511" s="57"/>
    </row>
    <row r="512" spans="1:12" ht="132">
      <c r="A512" s="226" t="s">
        <v>181</v>
      </c>
      <c r="B512" s="227" t="s">
        <v>182</v>
      </c>
      <c r="C512" s="227" t="s">
        <v>183</v>
      </c>
      <c r="D512" s="230">
        <v>45181</v>
      </c>
      <c r="E512" s="230">
        <v>45535</v>
      </c>
      <c r="F512" s="231">
        <v>1</v>
      </c>
      <c r="G512" s="21" t="str">
        <f ca="1">IFERROR(__xludf.DUMMYFUNCTION("IF(I512="""","""",FILTER(DATOS!$D$4:$D$237,DATOS!$B$4:$B$237=I512))"),"04-127")</f>
        <v>04-127</v>
      </c>
      <c r="H512" s="21" t="str">
        <f ca="1">IFERROR(__xludf.DUMMYFUNCTION("IF(I512="""","""",FILTER(DATOS!$C$4:$C$237,DATOS!$B$4:$B$237=I512))"),"SAN CRISTOBAL")</f>
        <v>SAN CRISTOBAL</v>
      </c>
      <c r="I512" s="77" t="s">
        <v>124</v>
      </c>
      <c r="J512" s="77" t="s">
        <v>184</v>
      </c>
      <c r="K512" s="25">
        <v>28589930</v>
      </c>
      <c r="L512" s="80">
        <v>20599729500</v>
      </c>
    </row>
    <row r="513" spans="1:12" ht="84">
      <c r="A513" s="272"/>
      <c r="B513" s="273"/>
      <c r="C513" s="273"/>
      <c r="D513" s="274"/>
      <c r="E513" s="274"/>
      <c r="F513" s="275"/>
      <c r="G513" s="71" t="str">
        <f ca="1">IFERROR(__xludf.DUMMYFUNCTION("IF(I513="""","""",FILTER(DATOS!$D$4:$D$237,DATOS!$B$4:$B$237=I513))"),"06-063")</f>
        <v>06-063</v>
      </c>
      <c r="H513" s="71" t="str">
        <f ca="1">IFERROR(__xludf.DUMMYFUNCTION("IF(I513="""","""",FILTER(DATOS!$C$4:$C$237,DATOS!$B$4:$B$237=I513))"),"TUNJUELITO")</f>
        <v>TUNJUELITO</v>
      </c>
      <c r="I513" s="35" t="s">
        <v>88</v>
      </c>
      <c r="J513" s="36" t="s">
        <v>610</v>
      </c>
      <c r="K513" s="30">
        <v>26510248</v>
      </c>
      <c r="L513" s="80"/>
    </row>
    <row r="514" spans="1:12" ht="60">
      <c r="A514" s="214"/>
      <c r="B514" s="228"/>
      <c r="C514" s="228"/>
      <c r="D514" s="228"/>
      <c r="E514" s="228"/>
      <c r="F514" s="228"/>
      <c r="G514" s="71" t="str">
        <f ca="1">IFERROR(__xludf.DUMMYFUNCTION("IF(I515="""","""",FILTER(DATOS!$D$4:$D$237,DATOS!$B$4:$B$237=I515))"),"08-034")</f>
        <v>08-034</v>
      </c>
      <c r="H514" s="71" t="str">
        <f ca="1">IFERROR(__xludf.DUMMYFUNCTION("IF(I515="""","""",FILTER(DATOS!$C$4:$C$237,DATOS!$B$4:$B$237=I515))"),"KENNEDY")</f>
        <v>KENNEDY</v>
      </c>
      <c r="I514" s="35" t="s">
        <v>118</v>
      </c>
      <c r="J514" s="36" t="s">
        <v>185</v>
      </c>
      <c r="K514" s="30">
        <v>2391001</v>
      </c>
      <c r="L514" s="57"/>
    </row>
    <row r="515" spans="1:12" ht="60">
      <c r="A515" s="214"/>
      <c r="B515" s="228"/>
      <c r="C515" s="228"/>
      <c r="D515" s="228"/>
      <c r="E515" s="228"/>
      <c r="F515" s="228"/>
      <c r="G515" s="71" t="str">
        <f ca="1">IFERROR(__xludf.DUMMYFUNCTION("IF(I516="""","""",FILTER(DATOS!$D$4:$D$237,DATOS!$B$4:$B$237=I516))"),"07-152")</f>
        <v>07-152</v>
      </c>
      <c r="H515" s="71" t="str">
        <f ca="1">IFERROR(__xludf.DUMMYFUNCTION("IF(I516="""","""",FILTER(DATOS!$C$4:$C$237,DATOS!$B$4:$B$237=I516))"),"BOSA")</f>
        <v>BOSA</v>
      </c>
      <c r="I515" s="35" t="s">
        <v>92</v>
      </c>
      <c r="J515" s="36" t="s">
        <v>185</v>
      </c>
      <c r="K515" s="30">
        <v>4249637</v>
      </c>
      <c r="L515" s="57"/>
    </row>
    <row r="516" spans="1:12" ht="72">
      <c r="A516" s="214"/>
      <c r="B516" s="228"/>
      <c r="C516" s="228"/>
      <c r="D516" s="228"/>
      <c r="E516" s="228"/>
      <c r="F516" s="228"/>
      <c r="G516" s="71" t="str">
        <f ca="1">IFERROR(__xludf.DUMMYFUNCTION("IF(I517="""","""",FILTER(DATOS!$D$4:$D$237,DATOS!$B$4:$B$237=I517))"),"05-016")</f>
        <v>05-016</v>
      </c>
      <c r="H516" s="71" t="str">
        <f ca="1">IFERROR(__xludf.DUMMYFUNCTION("IF(I517="""","""",FILTER(DATOS!$C$4:$C$237,DATOS!$B$4:$B$237=I517))"),"USME")</f>
        <v>USME</v>
      </c>
      <c r="I516" s="35" t="s">
        <v>89</v>
      </c>
      <c r="J516" s="36" t="s">
        <v>186</v>
      </c>
      <c r="K516" s="30">
        <v>85309503</v>
      </c>
      <c r="L516" s="57"/>
    </row>
    <row r="517" spans="1:12" ht="168">
      <c r="A517" s="214"/>
      <c r="B517" s="228"/>
      <c r="C517" s="228"/>
      <c r="D517" s="228"/>
      <c r="E517" s="228"/>
      <c r="F517" s="228"/>
      <c r="G517" s="71" t="str">
        <f ca="1">IFERROR(__xludf.DUMMYFUNCTION("IF(I519="""","""",FILTER(DATOS!$D$4:$D$237,DATOS!$B$4:$B$237=I519))"),"10-290")</f>
        <v>10-290</v>
      </c>
      <c r="H517" s="71" t="str">
        <f ca="1">IFERROR(__xludf.DUMMYFUNCTION("IF(I519="""","""",FILTER(DATOS!$C$4:$C$237,DATOS!$B$4:$B$237=I519))"),"ENGATIVA")</f>
        <v>ENGATIVA</v>
      </c>
      <c r="I517" s="35" t="s">
        <v>62</v>
      </c>
      <c r="J517" s="36" t="s">
        <v>187</v>
      </c>
      <c r="K517" s="30">
        <v>1059400869</v>
      </c>
      <c r="L517" s="57"/>
    </row>
    <row r="518" spans="1:12" ht="96">
      <c r="A518" s="214"/>
      <c r="B518" s="228"/>
      <c r="C518" s="228"/>
      <c r="D518" s="228"/>
      <c r="E518" s="228"/>
      <c r="F518" s="228"/>
      <c r="G518" s="71" t="str">
        <f ca="1">IFERROR(__xludf.DUMMYFUNCTION("IF(I520="""","""",FILTER(DATOS!$D$4:$D$237,DATOS!$B$4:$B$237=I520))"),"11-204")</f>
        <v>11-204</v>
      </c>
      <c r="H518" s="71" t="str">
        <f ca="1">IFERROR(__xludf.DUMMYFUNCTION("IF(I520="""","""",FILTER(DATOS!$C$4:$C$237,DATOS!$B$4:$B$237=I520))"),"SUBA")</f>
        <v>SUBA</v>
      </c>
      <c r="I518" s="35" t="s">
        <v>42</v>
      </c>
      <c r="J518" s="36" t="s">
        <v>188</v>
      </c>
      <c r="K518" s="30">
        <v>102380532</v>
      </c>
      <c r="L518" s="57"/>
    </row>
    <row r="519" spans="1:12" ht="96">
      <c r="A519" s="214"/>
      <c r="B519" s="228"/>
      <c r="C519" s="228"/>
      <c r="D519" s="228"/>
      <c r="E519" s="228"/>
      <c r="F519" s="228"/>
      <c r="G519" s="71" t="str">
        <f ca="1">IFERROR(__xludf.DUMMYFUNCTION("IF(I521="""","""",FILTER(DATOS!$D$4:$D$237,DATOS!$B$4:$B$237=I521))"),"12-093")</f>
        <v>12-093</v>
      </c>
      <c r="H519" s="71" t="str">
        <f ca="1">IFERROR(__xludf.DUMMYFUNCTION("IF(I521="""","""",FILTER(DATOS!$C$4:$C$237,DATOS!$B$4:$B$237=I521))"),"BARRIOS UNIDOS")</f>
        <v>BARRIOS UNIDOS</v>
      </c>
      <c r="I519" s="35" t="s">
        <v>189</v>
      </c>
      <c r="J519" s="36" t="s">
        <v>190</v>
      </c>
      <c r="K519" s="30">
        <v>239474</v>
      </c>
      <c r="L519" s="57"/>
    </row>
    <row r="520" spans="1:12" ht="312">
      <c r="A520" s="214"/>
      <c r="B520" s="228"/>
      <c r="C520" s="228"/>
      <c r="D520" s="228"/>
      <c r="E520" s="228"/>
      <c r="F520" s="228"/>
      <c r="G520" s="71" t="str">
        <f ca="1">IFERROR(__xludf.DUMMYFUNCTION("IF(I522="""","""",FILTER(DATOS!$D$4:$D$237,DATOS!$B$4:$B$237=I522))"),"08-554")</f>
        <v>08-554</v>
      </c>
      <c r="H520" s="71" t="str">
        <f ca="1">IFERROR(__xludf.DUMMYFUNCTION("IF(I522="""","""",FILTER(DATOS!$C$4:$C$237,DATOS!$B$4:$B$237=I522))"),"KENNEDY")</f>
        <v>KENNEDY</v>
      </c>
      <c r="I520" s="35" t="s">
        <v>90</v>
      </c>
      <c r="J520" s="36" t="s">
        <v>191</v>
      </c>
      <c r="K520" s="30">
        <v>52556267</v>
      </c>
      <c r="L520" s="57"/>
    </row>
    <row r="521" spans="1:12" ht="228" customHeight="1">
      <c r="A521" s="214"/>
      <c r="B521" s="228"/>
      <c r="C521" s="228"/>
      <c r="D521" s="228"/>
      <c r="E521" s="228"/>
      <c r="F521" s="228"/>
      <c r="G521" s="71" t="str">
        <f ca="1">IFERROR(__xludf.DUMMYFUNCTION("IF(I523="""","""",FILTER(DATOS!$D$4:$D$237,DATOS!$B$4:$B$237=I523))"),"09-104")</f>
        <v>09-104</v>
      </c>
      <c r="H521" s="71" t="str">
        <f ca="1">IFERROR(__xludf.DUMMYFUNCTION("IF(I523="""","""",FILTER(DATOS!$C$4:$C$237,DATOS!$B$4:$B$237=I523))"),"FONTIBON")</f>
        <v>FONTIBON</v>
      </c>
      <c r="I521" s="35" t="s">
        <v>21</v>
      </c>
      <c r="J521" s="36" t="s">
        <v>192</v>
      </c>
      <c r="K521" s="30">
        <v>442343121</v>
      </c>
      <c r="L521" s="57"/>
    </row>
    <row r="522" spans="1:12" ht="156">
      <c r="A522" s="214"/>
      <c r="B522" s="228"/>
      <c r="C522" s="228"/>
      <c r="D522" s="228"/>
      <c r="E522" s="228"/>
      <c r="F522" s="228"/>
      <c r="G522" s="71" t="str">
        <f ca="1">IFERROR(__xludf.DUMMYFUNCTION("IF(I524="""","""",FILTER(DATOS!$D$4:$D$237,DATOS!$B$4:$B$237=I524))"),"14-036")</f>
        <v>14-036</v>
      </c>
      <c r="H522" s="71" t="str">
        <f ca="1">IFERROR(__xludf.DUMMYFUNCTION("IF(I524="""","""",FILTER(DATOS!$C$4:$C$237,DATOS!$B$4:$B$237=I524))"),"MARTIRES")</f>
        <v>MARTIRES</v>
      </c>
      <c r="I522" s="35" t="s">
        <v>55</v>
      </c>
      <c r="J522" s="36" t="s">
        <v>193</v>
      </c>
      <c r="K522" s="30">
        <v>1983191</v>
      </c>
      <c r="L522" s="57"/>
    </row>
    <row r="523" spans="1:12" ht="168">
      <c r="A523" s="214"/>
      <c r="B523" s="228"/>
      <c r="C523" s="228"/>
      <c r="D523" s="228"/>
      <c r="E523" s="228"/>
      <c r="F523" s="228"/>
      <c r="G523" s="71" t="str">
        <f ca="1">IFERROR(__xludf.DUMMYFUNCTION("IF(I525="""","""",FILTER(DATOS!$D$4:$D$237,DATOS!$B$4:$B$237=I525))"),"10-234")</f>
        <v>10-234</v>
      </c>
      <c r="H523" s="71" t="str">
        <f ca="1">IFERROR(__xludf.DUMMYFUNCTION("IF(I525="""","""",FILTER(DATOS!$C$4:$C$237,DATOS!$B$4:$B$237=I525))"),"ENGATIVA")</f>
        <v>ENGATIVA</v>
      </c>
      <c r="I523" s="35" t="s">
        <v>56</v>
      </c>
      <c r="J523" s="36" t="s">
        <v>194</v>
      </c>
      <c r="K523" s="30">
        <v>57843353</v>
      </c>
      <c r="L523" s="57"/>
    </row>
    <row r="524" spans="1:12" ht="336">
      <c r="A524" s="214"/>
      <c r="B524" s="228"/>
      <c r="C524" s="228"/>
      <c r="D524" s="228"/>
      <c r="E524" s="228"/>
      <c r="F524" s="228"/>
      <c r="G524" s="71" t="str">
        <f ca="1">IFERROR(__xludf.DUMMYFUNCTION("IF(I526="""","""",FILTER(DATOS!$D$4:$D$237,DATOS!$B$4:$B$237=I526))"),"18-207")</f>
        <v>18-207</v>
      </c>
      <c r="H524" s="71" t="str">
        <f ca="1">IFERROR(__xludf.DUMMYFUNCTION("IF(I526="""","""",FILTER(DATOS!$C$4:$C$237,DATOS!$B$4:$B$237=I526))"),"RAFAEL URIBE")</f>
        <v>RAFAEL URIBE</v>
      </c>
      <c r="I524" s="35" t="s">
        <v>93</v>
      </c>
      <c r="J524" s="81" t="s">
        <v>195</v>
      </c>
      <c r="K524" s="30">
        <v>461295019</v>
      </c>
      <c r="L524" s="57"/>
    </row>
    <row r="525" spans="1:12" ht="252">
      <c r="A525" s="214"/>
      <c r="B525" s="228"/>
      <c r="C525" s="228"/>
      <c r="D525" s="228"/>
      <c r="E525" s="228"/>
      <c r="F525" s="228"/>
      <c r="G525" s="71" t="str">
        <f ca="1">IFERROR(__xludf.DUMMYFUNCTION("IF(I527="""","""",FILTER(DATOS!$D$4:$D$237,DATOS!$B$4:$B$237=I527))"),"06-063")</f>
        <v>06-063</v>
      </c>
      <c r="H525" s="71" t="str">
        <f ca="1">IFERROR(__xludf.DUMMYFUNCTION("IF(I527="""","""",FILTER(DATOS!$C$4:$C$237,DATOS!$B$4:$B$237=I527))"),"TUNJUELITO")</f>
        <v>TUNJUELITO</v>
      </c>
      <c r="I525" s="35" t="s">
        <v>87</v>
      </c>
      <c r="J525" s="81" t="s">
        <v>609</v>
      </c>
      <c r="K525" s="30">
        <v>427514304</v>
      </c>
      <c r="L525" s="57"/>
    </row>
    <row r="526" spans="1:12" ht="348">
      <c r="A526" s="214"/>
      <c r="B526" s="228"/>
      <c r="C526" s="228"/>
      <c r="D526" s="228"/>
      <c r="E526" s="228"/>
      <c r="F526" s="228"/>
      <c r="G526" s="71" t="str">
        <f ca="1">IFERROR(__xludf.DUMMYFUNCTION("IF(I528="""","""",FILTER(DATOS!$D$4:$D$237,DATOS!$B$4:$B$237=I528))"),"12-091")</f>
        <v>12-091</v>
      </c>
      <c r="H526" s="71" t="str">
        <f ca="1">IFERROR(__xludf.DUMMYFUNCTION("IF(I528="""","""",FILTER(DATOS!$C$4:$C$237,DATOS!$B$4:$B$237=I528))"),"BARRIOS UNIDOS")</f>
        <v>BARRIOS UNIDOS</v>
      </c>
      <c r="I526" s="35" t="s">
        <v>53</v>
      </c>
      <c r="J526" s="81" t="s">
        <v>196</v>
      </c>
      <c r="K526" s="30">
        <v>543175918</v>
      </c>
      <c r="L526" s="57"/>
    </row>
    <row r="527" spans="1:12" ht="84">
      <c r="A527" s="214"/>
      <c r="B527" s="228"/>
      <c r="C527" s="228"/>
      <c r="D527" s="228"/>
      <c r="E527" s="228"/>
      <c r="F527" s="228"/>
      <c r="G527" s="71" t="str">
        <f ca="1">IFERROR(__xludf.DUMMYFUNCTION("IF(I529="""","""",FILTER(DATOS!$D$4:$D$237,DATOS!$B$4:$B$237=I529))"),"11-368")</f>
        <v>11-368</v>
      </c>
      <c r="H527" s="71" t="str">
        <f ca="1">IFERROR(__xludf.DUMMYFUNCTION("IF(I529="""","""",FILTER(DATOS!$C$4:$C$237,DATOS!$B$4:$B$237=I529))"),"SUBA")</f>
        <v>SUBA</v>
      </c>
      <c r="I527" s="35" t="s">
        <v>35</v>
      </c>
      <c r="J527" s="81" t="s">
        <v>197</v>
      </c>
      <c r="K527" s="30">
        <v>314277797</v>
      </c>
      <c r="L527" s="57"/>
    </row>
    <row r="528" spans="1:12" ht="120">
      <c r="A528" s="214"/>
      <c r="B528" s="228"/>
      <c r="C528" s="228"/>
      <c r="D528" s="228"/>
      <c r="E528" s="228"/>
      <c r="F528" s="228"/>
      <c r="G528" s="71" t="str">
        <f ca="1">IFERROR(__xludf.DUMMYFUNCTION("IF(I530="""","""",FILTER(DATOS!$D$4:$D$237,DATOS!$B$4:$B$237=I530))"),"10-223")</f>
        <v>10-223</v>
      </c>
      <c r="H528" s="71" t="str">
        <f ca="1">IFERROR(__xludf.DUMMYFUNCTION("IF(I530="""","""",FILTER(DATOS!$C$4:$C$237,DATOS!$B$4:$B$237=I530))"),"ENGATIVA")</f>
        <v>ENGATIVA</v>
      </c>
      <c r="I528" s="35" t="s">
        <v>41</v>
      </c>
      <c r="J528" s="81" t="s">
        <v>198</v>
      </c>
      <c r="K528" s="30">
        <v>81216273</v>
      </c>
      <c r="L528" s="57"/>
    </row>
    <row r="529" spans="1:12" ht="192">
      <c r="A529" s="214"/>
      <c r="B529" s="228"/>
      <c r="C529" s="228"/>
      <c r="D529" s="228"/>
      <c r="E529" s="228"/>
      <c r="F529" s="228"/>
      <c r="G529" s="71" t="str">
        <f ca="1">IFERROR(__xludf.DUMMYFUNCTION("IF(I531="""","""",FILTER(DATOS!$D$4:$D$237,DATOS!$B$4:$B$237=I531))"),"08-241")</f>
        <v>08-241</v>
      </c>
      <c r="H529" s="71" t="str">
        <f ca="1">IFERROR(__xludf.DUMMYFUNCTION("IF(I531="""","""",FILTER(DATOS!$C$4:$C$237,DATOS!$B$4:$B$237=I531))"),"KENNEDY")</f>
        <v>KENNEDY</v>
      </c>
      <c r="I529" s="35" t="s">
        <v>78</v>
      </c>
      <c r="J529" s="81" t="s">
        <v>199</v>
      </c>
      <c r="K529" s="30">
        <v>214101652</v>
      </c>
      <c r="L529" s="57"/>
    </row>
    <row r="530" spans="1:12" ht="360">
      <c r="A530" s="214"/>
      <c r="B530" s="228"/>
      <c r="C530" s="228"/>
      <c r="D530" s="228"/>
      <c r="E530" s="228"/>
      <c r="F530" s="228"/>
      <c r="G530" s="71" t="str">
        <f ca="1">IFERROR(__xludf.DUMMYFUNCTION("IF(I532="""","""",FILTER(DATOS!$D$4:$D$237,DATOS!$B$4:$B$237=I532))"),"16-112")</f>
        <v>16-112</v>
      </c>
      <c r="H530" s="71" t="str">
        <f ca="1">IFERROR(__xludf.DUMMYFUNCTION("IF(I532="""","""",FILTER(DATOS!$C$4:$C$237,DATOS!$B$4:$B$237=I532))"),"PUENTE ARANDA")</f>
        <v>PUENTE ARANDA</v>
      </c>
      <c r="I530" s="35" t="s">
        <v>79</v>
      </c>
      <c r="J530" s="81" t="s">
        <v>200</v>
      </c>
      <c r="K530" s="30">
        <v>198889176</v>
      </c>
      <c r="L530" s="57"/>
    </row>
    <row r="531" spans="1:12" ht="168">
      <c r="A531" s="214"/>
      <c r="B531" s="228"/>
      <c r="C531" s="228"/>
      <c r="D531" s="228"/>
      <c r="E531" s="228"/>
      <c r="F531" s="228"/>
      <c r="G531" s="71" t="str">
        <f ca="1">IFERROR(__xludf.DUMMYFUNCTION("IF(I533="""","""",FILTER(DATOS!$D$4:$D$237,DATOS!$B$4:$B$237=I533))"),"07-035")</f>
        <v>07-035</v>
      </c>
      <c r="H531" s="71" t="str">
        <f ca="1">IFERROR(__xludf.DUMMYFUNCTION("IF(I533="""","""",FILTER(DATOS!$C$4:$C$237,DATOS!$B$4:$B$237=I533))"),"BOSA")</f>
        <v>BOSA</v>
      </c>
      <c r="I531" s="35" t="s">
        <v>116</v>
      </c>
      <c r="J531" s="81" t="s">
        <v>201</v>
      </c>
      <c r="K531" s="30">
        <v>19891704</v>
      </c>
      <c r="L531" s="57"/>
    </row>
    <row r="532" spans="1:12" ht="180">
      <c r="A532" s="214"/>
      <c r="B532" s="228"/>
      <c r="C532" s="228"/>
      <c r="D532" s="228"/>
      <c r="E532" s="228"/>
      <c r="F532" s="228"/>
      <c r="G532" s="71" t="str">
        <f ca="1">IFERROR(__xludf.DUMMYFUNCTION("IF(I534="""","""",FILTER(DATOS!$D$4:$D$237,DATOS!$B$4:$B$237=I534))"),"18-452")</f>
        <v>18-452</v>
      </c>
      <c r="H532" s="71" t="str">
        <f ca="1">IFERROR(__xludf.DUMMYFUNCTION("IF(I534="""","""",FILTER(DATOS!$C$4:$C$237,DATOS!$B$4:$B$237=I534))"),"RAFAEL URIBE")</f>
        <v>RAFAEL URIBE</v>
      </c>
      <c r="I532" s="35" t="s">
        <v>98</v>
      </c>
      <c r="J532" s="81" t="s">
        <v>202</v>
      </c>
      <c r="K532" s="30">
        <v>4716737</v>
      </c>
      <c r="L532" s="57"/>
    </row>
    <row r="533" spans="1:12" ht="288">
      <c r="A533" s="214"/>
      <c r="B533" s="228"/>
      <c r="C533" s="228"/>
      <c r="D533" s="228"/>
      <c r="E533" s="228"/>
      <c r="F533" s="228"/>
      <c r="G533" s="71" t="str">
        <f ca="1">IFERROR(__xludf.DUMMYFUNCTION("IF(I535="""","""",FILTER(DATOS!$D$4:$D$237,DATOS!$B$4:$B$237=I535))"),"06-017")</f>
        <v>06-017</v>
      </c>
      <c r="H533" s="71" t="str">
        <f ca="1">IFERROR(__xludf.DUMMYFUNCTION("IF(I535="""","""",FILTER(DATOS!$C$4:$C$237,DATOS!$B$4:$B$237=I535))"),"TUNJUELITO")</f>
        <v>TUNJUELITO</v>
      </c>
      <c r="I533" s="35" t="s">
        <v>117</v>
      </c>
      <c r="J533" s="36" t="s">
        <v>203</v>
      </c>
      <c r="K533" s="30">
        <v>930842256</v>
      </c>
      <c r="L533" s="57"/>
    </row>
    <row r="534" spans="1:12" ht="60">
      <c r="A534" s="214"/>
      <c r="B534" s="228"/>
      <c r="C534" s="228"/>
      <c r="D534" s="228"/>
      <c r="E534" s="228"/>
      <c r="F534" s="228"/>
      <c r="G534" s="71" t="str">
        <f ca="1">IFERROR(__xludf.DUMMYFUNCTION("IF(I536="""","""",FILTER(DATOS!$D$4:$D$237,DATOS!$B$4:$B$237=I536))"),"18-028")</f>
        <v>18-028</v>
      </c>
      <c r="H534" s="71" t="str">
        <f ca="1">IFERROR(__xludf.DUMMYFUNCTION("IF(I536="""","""",FILTER(DATOS!$C$4:$C$237,DATOS!$B$4:$B$237=I536))"),"RAFAEL URIBE")</f>
        <v>RAFAEL URIBE</v>
      </c>
      <c r="I534" s="82" t="s">
        <v>74</v>
      </c>
      <c r="J534" s="82" t="s">
        <v>204</v>
      </c>
      <c r="K534" s="30">
        <v>946433125</v>
      </c>
      <c r="L534" s="57"/>
    </row>
    <row r="535" spans="1:12" ht="324">
      <c r="A535" s="214"/>
      <c r="B535" s="228"/>
      <c r="C535" s="228"/>
      <c r="D535" s="228"/>
      <c r="E535" s="228"/>
      <c r="F535" s="228"/>
      <c r="G535" s="71" t="str">
        <f ca="1">IFERROR(__xludf.DUMMYFUNCTION("IF(I537="""","""",FILTER(DATOS!$D$4:$D$237,DATOS!$B$4:$B$237=I537))"),"15-040")</f>
        <v>15-040</v>
      </c>
      <c r="H535" s="71" t="str">
        <f ca="1">IFERROR(__xludf.DUMMYFUNCTION("IF(I537="""","""",FILTER(DATOS!$C$4:$C$237,DATOS!$B$4:$B$237=I537))"),"ANTONIO NARIÑO")</f>
        <v>ANTONIO NARIÑO</v>
      </c>
      <c r="I535" s="36" t="s">
        <v>105</v>
      </c>
      <c r="J535" s="36" t="s">
        <v>205</v>
      </c>
      <c r="K535" s="30">
        <v>1261298267</v>
      </c>
      <c r="L535" s="57"/>
    </row>
    <row r="536" spans="1:12" ht="48">
      <c r="A536" s="214"/>
      <c r="B536" s="228"/>
      <c r="C536" s="228"/>
      <c r="D536" s="228"/>
      <c r="E536" s="228"/>
      <c r="F536" s="228"/>
      <c r="G536" s="71" t="str">
        <f ca="1">IFERROR(__xludf.DUMMYFUNCTION("IF(I538="""","""",FILTER(DATOS!$D$4:$D$237,DATOS!$B$4:$B$237=I538))"),"19-788")</f>
        <v>19-788</v>
      </c>
      <c r="H536" s="71" t="str">
        <f ca="1">IFERROR(__xludf.DUMMYFUNCTION("IF(I538="""","""",FILTER(DATOS!$C$4:$C$237,DATOS!$B$4:$B$237=I538))"),"CIUDAD BOLIVAR")</f>
        <v>CIUDAD BOLIVAR</v>
      </c>
      <c r="I536" s="36" t="s">
        <v>139</v>
      </c>
      <c r="J536" s="36" t="s">
        <v>206</v>
      </c>
      <c r="K536" s="30">
        <v>58867946</v>
      </c>
      <c r="L536" s="57"/>
    </row>
    <row r="537" spans="1:12" ht="324">
      <c r="A537" s="214"/>
      <c r="B537" s="228"/>
      <c r="C537" s="228"/>
      <c r="D537" s="228"/>
      <c r="E537" s="228"/>
      <c r="F537" s="228"/>
      <c r="G537" s="71" t="str">
        <f ca="1">IFERROR(__xludf.DUMMYFUNCTION("IF(I539="""","""",FILTER(DATOS!$D$4:$D$237,DATOS!$B$4:$B$237=I539))"),"04-075")</f>
        <v>04-075</v>
      </c>
      <c r="H537" s="71" t="str">
        <f ca="1">IFERROR(__xludf.DUMMYFUNCTION("IF(I539="""","""",FILTER(DATOS!$C$4:$C$237,DATOS!$B$4:$B$237=I539))"),"SAN CRISTOBAL")</f>
        <v>SAN CRISTOBAL</v>
      </c>
      <c r="I537" s="36" t="s">
        <v>136</v>
      </c>
      <c r="J537" s="36" t="s">
        <v>207</v>
      </c>
      <c r="K537" s="30">
        <v>382470960</v>
      </c>
      <c r="L537" s="57"/>
    </row>
    <row r="538" spans="1:12" ht="156">
      <c r="A538" s="214"/>
      <c r="B538" s="228"/>
      <c r="C538" s="228"/>
      <c r="D538" s="228"/>
      <c r="E538" s="228"/>
      <c r="F538" s="228"/>
      <c r="G538" s="71" t="str">
        <f ca="1">IFERROR(__xludf.DUMMYFUNCTION("IF(I540="""","""",FILTER(DATOS!$D$4:$D$237,DATOS!$B$4:$B$237=I540))"),"14-030")</f>
        <v>14-030</v>
      </c>
      <c r="H538" s="71" t="str">
        <f ca="1">IFERROR(__xludf.DUMMYFUNCTION("IF(I540="""","""",FILTER(DATOS!$C$4:$C$237,DATOS!$B$4:$B$237=I540))"),"MARTIRES")</f>
        <v>MARTIRES</v>
      </c>
      <c r="I538" s="36" t="s">
        <v>82</v>
      </c>
      <c r="J538" s="36" t="s">
        <v>208</v>
      </c>
      <c r="K538" s="30">
        <v>128611879</v>
      </c>
      <c r="L538" s="57"/>
    </row>
    <row r="539" spans="1:12" ht="144">
      <c r="A539" s="214"/>
      <c r="B539" s="228"/>
      <c r="C539" s="228"/>
      <c r="D539" s="228"/>
      <c r="E539" s="228"/>
      <c r="F539" s="228"/>
      <c r="G539" s="71" t="str">
        <f ca="1">IFERROR(__xludf.DUMMYFUNCTION("IF(I541="""","""",FILTER(DATOS!$D$4:$D$237,DATOS!$B$4:$B$237=I541))"),"04-196")</f>
        <v>04-196</v>
      </c>
      <c r="H539" s="71" t="str">
        <f ca="1">IFERROR(__xludf.DUMMYFUNCTION("IF(I541="""","""",FILTER(DATOS!$C$4:$C$237,DATOS!$B$4:$B$237=I541))"),"SAN CRISTOBAL")</f>
        <v>SAN CRISTOBAL</v>
      </c>
      <c r="I539" s="36" t="s">
        <v>134</v>
      </c>
      <c r="J539" s="36" t="s">
        <v>209</v>
      </c>
      <c r="K539" s="30">
        <v>722153086</v>
      </c>
      <c r="L539" s="57"/>
    </row>
    <row r="540" spans="1:12" ht="132">
      <c r="A540" s="214"/>
      <c r="B540" s="228"/>
      <c r="C540" s="228"/>
      <c r="D540" s="228"/>
      <c r="E540" s="228"/>
      <c r="F540" s="228"/>
      <c r="G540" s="71" t="str">
        <f ca="1">IFERROR(__xludf.DUMMYFUNCTION("IF(I542="""","""",FILTER(DATOS!$D$4:$D$237,DATOS!$B$4:$B$237=I542))"),"12-141")</f>
        <v>12-141</v>
      </c>
      <c r="H540" s="71" t="str">
        <f ca="1">IFERROR(__xludf.DUMMYFUNCTION("IF(I542="""","""",FILTER(DATOS!$C$4:$C$237,DATOS!$B$4:$B$237=I542))"),"BARRIOS UNIDOS")</f>
        <v>BARRIOS UNIDOS</v>
      </c>
      <c r="I540" s="36" t="s">
        <v>48</v>
      </c>
      <c r="J540" s="36" t="s">
        <v>210</v>
      </c>
      <c r="K540" s="30">
        <v>1205114087</v>
      </c>
      <c r="L540" s="57"/>
    </row>
    <row r="541" spans="1:12" ht="180">
      <c r="A541" s="214"/>
      <c r="B541" s="228"/>
      <c r="C541" s="228"/>
      <c r="D541" s="228"/>
      <c r="E541" s="228"/>
      <c r="F541" s="228"/>
      <c r="G541" s="71" t="str">
        <f ca="1">IFERROR(__xludf.DUMMYFUNCTION("IF(I543="""","""",FILTER(DATOS!$D$4:$D$237,DATOS!$B$4:$B$237=I543))"),"13-089")</f>
        <v>13-089</v>
      </c>
      <c r="H541" s="71" t="str">
        <f ca="1">IFERROR(__xludf.DUMMYFUNCTION("IF(I543="""","""",FILTER(DATOS!$C$4:$C$237,DATOS!$B$4:$B$237=I543))"),"TEUSAQUILLO")</f>
        <v>TEUSAQUILLO</v>
      </c>
      <c r="I541" s="36" t="s">
        <v>59</v>
      </c>
      <c r="J541" s="36" t="s">
        <v>211</v>
      </c>
      <c r="K541" s="30">
        <v>1175604907</v>
      </c>
      <c r="L541" s="57"/>
    </row>
    <row r="542" spans="1:12" ht="60">
      <c r="A542" s="214"/>
      <c r="B542" s="228"/>
      <c r="C542" s="228"/>
      <c r="D542" s="228"/>
      <c r="E542" s="228"/>
      <c r="F542" s="228"/>
      <c r="G542" s="71" t="str">
        <f ca="1">IFERROR(__xludf.DUMMYFUNCTION("IF(I544="""","""",FILTER(DATOS!$D$4:$D$237,DATOS!$B$4:$B$237=I544))"),"01-075")</f>
        <v>01-075</v>
      </c>
      <c r="H542" s="71" t="str">
        <f ca="1">IFERROR(__xludf.DUMMYFUNCTION("IF(I544="""","""",FILTER(DATOS!$C$4:$C$237,DATOS!$B$4:$B$237=I544))"),"USAQUEN")</f>
        <v>USAQUEN</v>
      </c>
      <c r="I542" s="36" t="s">
        <v>20</v>
      </c>
      <c r="J542" s="36" t="s">
        <v>212</v>
      </c>
      <c r="K542" s="30">
        <v>141701036</v>
      </c>
      <c r="L542" s="57"/>
    </row>
    <row r="543" spans="1:12" ht="84">
      <c r="A543" s="214"/>
      <c r="B543" s="228"/>
      <c r="C543" s="228"/>
      <c r="D543" s="228"/>
      <c r="E543" s="228"/>
      <c r="F543" s="228"/>
      <c r="G543" s="71" t="str">
        <f ca="1">IFERROR(__xludf.DUMMYFUNCTION("IF(I545="""","""",FILTER(DATOS!$D$4:$D$237,DATOS!$B$4:$B$237=I545))"),"01-023")</f>
        <v>01-023</v>
      </c>
      <c r="H543" s="71" t="str">
        <f ca="1">IFERROR(__xludf.DUMMYFUNCTION("IF(I545="""","""",FILTER(DATOS!$C$4:$C$237,DATOS!$B$4:$B$237=I545))"),"USAQUEN")</f>
        <v>USAQUEN</v>
      </c>
      <c r="I543" s="36" t="s">
        <v>58</v>
      </c>
      <c r="J543" s="36" t="s">
        <v>213</v>
      </c>
      <c r="K543" s="30">
        <v>597042733</v>
      </c>
      <c r="L543" s="57"/>
    </row>
    <row r="544" spans="1:12" ht="228">
      <c r="A544" s="214"/>
      <c r="B544" s="228"/>
      <c r="C544" s="228"/>
      <c r="D544" s="228"/>
      <c r="E544" s="228"/>
      <c r="F544" s="228"/>
      <c r="G544" s="71" t="str">
        <f ca="1">IFERROR(__xludf.DUMMYFUNCTION("IF(I546="""","""",FILTER(DATOS!$D$4:$D$237,DATOS!$B$4:$B$237=I546))"),"08-552")</f>
        <v>08-552</v>
      </c>
      <c r="H544" s="71" t="str">
        <f ca="1">IFERROR(__xludf.DUMMYFUNCTION("IF(I546="""","""",FILTER(DATOS!$C$4:$C$237,DATOS!$B$4:$B$237=I546))"),"KENNEDY")</f>
        <v>KENNEDY</v>
      </c>
      <c r="I544" s="36" t="s">
        <v>97</v>
      </c>
      <c r="J544" s="36" t="s">
        <v>214</v>
      </c>
      <c r="K544" s="30">
        <v>1162764898</v>
      </c>
      <c r="L544" s="57"/>
    </row>
    <row r="545" spans="1:12" ht="180">
      <c r="A545" s="214"/>
      <c r="B545" s="228"/>
      <c r="C545" s="228"/>
      <c r="D545" s="228"/>
      <c r="E545" s="228"/>
      <c r="F545" s="228"/>
      <c r="G545" s="71" t="str">
        <f ca="1">IFERROR(__xludf.DUMMYFUNCTION("IF(I547="""","""",FILTER(DATOS!$D$4:$D$237,DATOS!$B$4:$B$237=I547))"),"07-260")</f>
        <v>07-260</v>
      </c>
      <c r="H545" s="71" t="str">
        <f ca="1">IFERROR(__xludf.DUMMYFUNCTION("IF(I547="""","""",FILTER(DATOS!$C$4:$C$237,DATOS!$B$4:$B$237=I547))"),"BOSA")</f>
        <v>BOSA</v>
      </c>
      <c r="I545" s="36" t="s">
        <v>84</v>
      </c>
      <c r="J545" s="36" t="s">
        <v>215</v>
      </c>
      <c r="K545" s="30">
        <v>697193694</v>
      </c>
      <c r="L545" s="57"/>
    </row>
    <row r="546" spans="1:12" ht="24">
      <c r="A546" s="214"/>
      <c r="B546" s="228"/>
      <c r="C546" s="228"/>
      <c r="D546" s="228"/>
      <c r="E546" s="228"/>
      <c r="F546" s="228"/>
      <c r="G546" s="71" t="str">
        <f ca="1">IFERROR(__xludf.DUMMYFUNCTION("IF(I548="""","""",FILTER(DATOS!$D$4:$D$237,DATOS!$B$4:$B$237=I548))"),"05-087")</f>
        <v>05-087</v>
      </c>
      <c r="H546" s="71" t="str">
        <f ca="1">IFERROR(__xludf.DUMMYFUNCTION("IF(I548="""","""",FILTER(DATOS!$C$4:$C$237,DATOS!$B$4:$B$237=I548))"),"USME")</f>
        <v>USME</v>
      </c>
      <c r="I546" s="36" t="s">
        <v>135</v>
      </c>
      <c r="J546" s="36" t="s">
        <v>216</v>
      </c>
      <c r="K546" s="30">
        <v>37108349</v>
      </c>
      <c r="L546" s="57"/>
    </row>
    <row r="547" spans="1:12" ht="72">
      <c r="A547" s="214"/>
      <c r="B547" s="228"/>
      <c r="C547" s="228"/>
      <c r="D547" s="228"/>
      <c r="E547" s="228"/>
      <c r="F547" s="228"/>
      <c r="G547" s="71" t="str">
        <f ca="1">IFERROR(__xludf.DUMMYFUNCTION("IF(I549="""","""",FILTER(DATOS!$D$4:$D$237,DATOS!$B$4:$B$237=I549))"),"12-092")</f>
        <v>12-092</v>
      </c>
      <c r="H547" s="71" t="str">
        <f ca="1">IFERROR(__xludf.DUMMYFUNCTION("IF(I549="""","""",FILTER(DATOS!$C$4:$C$237,DATOS!$B$4:$B$237=I549))"),"BARRIOS UNIDOS")</f>
        <v>BARRIOS UNIDOS</v>
      </c>
      <c r="I547" s="83" t="s">
        <v>31</v>
      </c>
      <c r="J547" s="83" t="s">
        <v>217</v>
      </c>
      <c r="K547" s="30">
        <v>98905137</v>
      </c>
      <c r="L547" s="57"/>
    </row>
    <row r="548" spans="1:12" ht="48">
      <c r="A548" s="214"/>
      <c r="B548" s="228"/>
      <c r="C548" s="228"/>
      <c r="D548" s="228"/>
      <c r="E548" s="228"/>
      <c r="F548" s="228"/>
      <c r="G548" s="26" t="str">
        <f ca="1">IFERROR(__xludf.DUMMYFUNCTION("IF(I550="""","""",FILTER(DATOS!$D$4:$D$237,DATOS!$B$4:$B$237=I550))"),"02-014")</f>
        <v>02-014</v>
      </c>
      <c r="H548" s="26" t="str">
        <f ca="1">IFERROR(__xludf.DUMMYFUNCTION("IF(I550="""","""",FILTER(DATOS!$C$4:$C$237,DATOS!$B$4:$B$237=I550))"),"CHAPINERO")</f>
        <v>CHAPINERO</v>
      </c>
      <c r="I548" s="36" t="s">
        <v>152</v>
      </c>
      <c r="J548" s="36" t="s">
        <v>218</v>
      </c>
      <c r="K548" s="30">
        <v>25634544</v>
      </c>
      <c r="L548" s="57"/>
    </row>
    <row r="549" spans="1:12" ht="96">
      <c r="A549" s="214"/>
      <c r="B549" s="228"/>
      <c r="C549" s="228"/>
      <c r="D549" s="228"/>
      <c r="E549" s="228"/>
      <c r="F549" s="228"/>
      <c r="G549" s="26" t="str">
        <f ca="1">IFERROR(__xludf.DUMMYFUNCTION("IF(I551="""","""",FILTER(DATOS!$D$4:$D$237,DATOS!$B$4:$B$237=I551))"),"02-019")</f>
        <v>02-019</v>
      </c>
      <c r="H549" s="26" t="str">
        <f ca="1">IFERROR(__xludf.DUMMYFUNCTION("IF(I551="""","""",FILTER(DATOS!$C$4:$C$237,DATOS!$B$4:$B$237=I551))"),"CHAPINERO")</f>
        <v>CHAPINERO</v>
      </c>
      <c r="I549" s="36" t="s">
        <v>219</v>
      </c>
      <c r="J549" s="36" t="s">
        <v>220</v>
      </c>
      <c r="K549" s="30">
        <v>125720096</v>
      </c>
      <c r="L549" s="57"/>
    </row>
    <row r="550" spans="1:12" ht="72">
      <c r="A550" s="214"/>
      <c r="B550" s="228"/>
      <c r="C550" s="228"/>
      <c r="D550" s="228"/>
      <c r="E550" s="228"/>
      <c r="F550" s="228"/>
      <c r="G550" s="26" t="str">
        <f ca="1">IFERROR(__xludf.DUMMYFUNCTION("IF(I552="""","""",FILTER(DATOS!$D$4:$D$237,DATOS!$B$4:$B$237=I552))"),"12-002")</f>
        <v>12-002</v>
      </c>
      <c r="H550" s="26" t="str">
        <f ca="1">IFERROR(__xludf.DUMMYFUNCTION("IF(I552="""","""",FILTER(DATOS!$C$4:$C$237,DATOS!$B$4:$B$237=I552))"),"BARRIOS UNIDOS")</f>
        <v>BARRIOS UNIDOS</v>
      </c>
      <c r="I550" s="36" t="s">
        <v>221</v>
      </c>
      <c r="J550" s="36" t="s">
        <v>222</v>
      </c>
      <c r="K550" s="30">
        <v>69988303</v>
      </c>
      <c r="L550" s="57"/>
    </row>
    <row r="551" spans="1:12" ht="96">
      <c r="A551" s="214"/>
      <c r="B551" s="228"/>
      <c r="C551" s="228"/>
      <c r="D551" s="228"/>
      <c r="E551" s="228"/>
      <c r="F551" s="228"/>
      <c r="G551" s="26" t="str">
        <f ca="1">IFERROR(__xludf.DUMMYFUNCTION("IF(I553="""","""",FILTER(DATOS!$D$4:$D$237,DATOS!$B$4:$B$237=I553))"),"09-050")</f>
        <v>09-050</v>
      </c>
      <c r="H551" s="26" t="str">
        <f ca="1">IFERROR(__xludf.DUMMYFUNCTION("IF(I553="""","""",FILTER(DATOS!$C$4:$C$237,DATOS!$B$4:$B$237=I553))"),"FONTIBON")</f>
        <v>FONTIBON</v>
      </c>
      <c r="I551" s="36" t="s">
        <v>223</v>
      </c>
      <c r="J551" s="36" t="s">
        <v>224</v>
      </c>
      <c r="K551" s="30">
        <v>929991265</v>
      </c>
      <c r="L551" s="57"/>
    </row>
    <row r="552" spans="1:12" ht="48">
      <c r="A552" s="214"/>
      <c r="B552" s="228"/>
      <c r="C552" s="228"/>
      <c r="D552" s="228"/>
      <c r="E552" s="228"/>
      <c r="F552" s="228"/>
      <c r="G552" s="26" t="str">
        <f ca="1">IFERROR(__xludf.DUMMYFUNCTION("IF(I554="""","""",FILTER(DATOS!$D$4:$D$237,DATOS!$B$4:$B$237=I554))"),"05-002")</f>
        <v>05-002</v>
      </c>
      <c r="H552" s="26" t="str">
        <f ca="1">IFERROR(__xludf.DUMMYFUNCTION("IF(I554="""","""",FILTER(DATOS!$C$4:$C$237,DATOS!$B$4:$B$237=I554))"),"USME")</f>
        <v>USME</v>
      </c>
      <c r="I552" s="36" t="s">
        <v>102</v>
      </c>
      <c r="J552" s="36" t="s">
        <v>225</v>
      </c>
      <c r="K552" s="30">
        <v>3365302</v>
      </c>
      <c r="L552" s="57"/>
    </row>
    <row r="553" spans="1:12" ht="48">
      <c r="A553" s="214"/>
      <c r="B553" s="228"/>
      <c r="C553" s="228"/>
      <c r="D553" s="228"/>
      <c r="E553" s="228"/>
      <c r="F553" s="228"/>
      <c r="G553" s="26" t="str">
        <f ca="1">IFERROR(__xludf.DUMMYFUNCTION("IF(I555="""","""",FILTER(DATOS!$D$4:$D$237,DATOS!$B$4:$B$237=I555))"),"13-122")</f>
        <v>13-122</v>
      </c>
      <c r="H553" s="26" t="str">
        <f ca="1">IFERROR(__xludf.DUMMYFUNCTION("IF(I555="""","""",FILTER(DATOS!$C$4:$C$237,DATOS!$B$4:$B$237=I555))"),"TEUSAQUILLO")</f>
        <v>TEUSAQUILLO</v>
      </c>
      <c r="I553" s="36" t="s">
        <v>32</v>
      </c>
      <c r="J553" s="36" t="s">
        <v>226</v>
      </c>
      <c r="K553" s="30">
        <v>59573606</v>
      </c>
      <c r="L553" s="57"/>
    </row>
    <row r="554" spans="1:12" ht="84">
      <c r="A554" s="214"/>
      <c r="B554" s="228"/>
      <c r="C554" s="228"/>
      <c r="D554" s="228"/>
      <c r="E554" s="228"/>
      <c r="F554" s="228"/>
      <c r="G554" s="26" t="str">
        <f ca="1">IFERROR(__xludf.DUMMYFUNCTION("IF(I556="""","""",FILTER(DATOS!$D$4:$D$237,DATOS!$B$4:$B$237=I556))"),"11-368")</f>
        <v>11-368</v>
      </c>
      <c r="H554" s="26" t="str">
        <f ca="1">IFERROR(__xludf.DUMMYFUNCTION("IF(I556="""","""",FILTER(DATOS!$C$4:$C$237,DATOS!$B$4:$B$237=I556))"),"SUBA")</f>
        <v>SUBA</v>
      </c>
      <c r="I554" s="36" t="s">
        <v>34</v>
      </c>
      <c r="J554" s="36" t="s">
        <v>227</v>
      </c>
      <c r="K554" s="30">
        <v>188519129</v>
      </c>
      <c r="L554" s="57"/>
    </row>
    <row r="555" spans="1:12" ht="108">
      <c r="A555" s="214"/>
      <c r="B555" s="228"/>
      <c r="C555" s="228"/>
      <c r="D555" s="228"/>
      <c r="E555" s="228"/>
      <c r="F555" s="228"/>
      <c r="G555" s="26" t="str">
        <f ca="1">IFERROR(__xludf.DUMMYFUNCTION("IF(I557="""","""",FILTER(DATOS!$D$4:$D$237,DATOS!$B$4:$B$237=I557))"),"09-111")</f>
        <v>09-111</v>
      </c>
      <c r="H555" s="26" t="str">
        <f ca="1">IFERROR(__xludf.DUMMYFUNCTION("IF(I557="""","""",FILTER(DATOS!$C$4:$C$237,DATOS!$B$4:$B$237=I557))"),"FONTIBON")</f>
        <v>FONTIBON</v>
      </c>
      <c r="I555" s="36" t="s">
        <v>57</v>
      </c>
      <c r="J555" s="36" t="s">
        <v>228</v>
      </c>
      <c r="K555" s="30">
        <v>177168404</v>
      </c>
      <c r="L555" s="57"/>
    </row>
    <row r="556" spans="1:12" ht="36">
      <c r="A556" s="214"/>
      <c r="B556" s="228"/>
      <c r="C556" s="228"/>
      <c r="D556" s="228"/>
      <c r="E556" s="228"/>
      <c r="F556" s="228"/>
      <c r="G556" s="26" t="str">
        <f ca="1">IFERROR(__xludf.DUMMYFUNCTION("IF(I558="""","""",FILTER(DATOS!$D$4:$D$237,DATOS!$B$4:$B$237=I558))"),"12-023")</f>
        <v>12-023</v>
      </c>
      <c r="H556" s="26" t="str">
        <f ca="1">IFERROR(__xludf.DUMMYFUNCTION("IF(I558="""","""",FILTER(DATOS!$C$4:$C$237,DATOS!$B$4:$B$237=I558))"),"BARRIOS UNIDOS")</f>
        <v>BARRIOS UNIDOS</v>
      </c>
      <c r="I556" s="36" t="s">
        <v>36</v>
      </c>
      <c r="J556" s="36" t="s">
        <v>229</v>
      </c>
      <c r="K556" s="30">
        <v>2380137</v>
      </c>
      <c r="L556" s="57"/>
    </row>
    <row r="557" spans="1:12" ht="108">
      <c r="A557" s="214"/>
      <c r="B557" s="228"/>
      <c r="C557" s="228"/>
      <c r="D557" s="228"/>
      <c r="E557" s="228"/>
      <c r="F557" s="228"/>
      <c r="G557" s="26" t="str">
        <f ca="1">IFERROR(__xludf.DUMMYFUNCTION("IF(I559="""","""",FILTER(DATOS!$D$4:$D$237,DATOS!$B$4:$B$237=I559))"),"16-024")</f>
        <v>16-024</v>
      </c>
      <c r="H557" s="26" t="str">
        <f ca="1">IFERROR(__xludf.DUMMYFUNCTION("IF(I559="""","""",FILTER(DATOS!$C$4:$C$237,DATOS!$B$4:$B$237=I559))"),"PUENTE ARANDA")</f>
        <v>PUENTE ARANDA</v>
      </c>
      <c r="I557" s="36" t="s">
        <v>91</v>
      </c>
      <c r="J557" s="36" t="s">
        <v>230</v>
      </c>
      <c r="K557" s="30">
        <v>88917298</v>
      </c>
      <c r="L557" s="57"/>
    </row>
    <row r="558" spans="1:12">
      <c r="A558" s="214"/>
      <c r="B558" s="228"/>
      <c r="C558" s="228"/>
      <c r="D558" s="228"/>
      <c r="E558" s="228"/>
      <c r="F558" s="228"/>
      <c r="G558" s="26" t="str">
        <f ca="1">IFERROR(__xludf.DUMMYFUNCTION("IF(I560="""","""",FILTER(DATOS!$D$4:$D$237,DATOS!$B$4:$B$237=I560))"),"13-088")</f>
        <v>13-088</v>
      </c>
      <c r="H558" s="26" t="str">
        <f ca="1">IFERROR(__xludf.DUMMYFUNCTION("IF(I560="""","""",FILTER(DATOS!$C$4:$C$237,DATOS!$B$4:$B$237=I560))"),"TEUSAQUILLO")</f>
        <v>TEUSAQUILLO</v>
      </c>
      <c r="I558" s="36" t="s">
        <v>66</v>
      </c>
      <c r="J558" s="36" t="s">
        <v>231</v>
      </c>
      <c r="K558" s="30">
        <v>1242075</v>
      </c>
      <c r="L558" s="57"/>
    </row>
    <row r="559" spans="1:12">
      <c r="A559" s="214"/>
      <c r="B559" s="228"/>
      <c r="C559" s="228"/>
      <c r="D559" s="228"/>
      <c r="E559" s="228"/>
      <c r="F559" s="228"/>
      <c r="G559" s="26" t="str">
        <f ca="1">IFERROR(__xludf.DUMMYFUNCTION("IF(I561="""","""",FILTER(DATOS!$D$4:$D$237,DATOS!$B$4:$B$237=I561))"),"11-003")</f>
        <v>11-003</v>
      </c>
      <c r="H559" s="26" t="str">
        <f ca="1">IFERROR(__xludf.DUMMYFUNCTION("IF(I561="""","""",FILTER(DATOS!$C$4:$C$237,DATOS!$B$4:$B$237=I561))"),"SUBA")</f>
        <v>SUBA</v>
      </c>
      <c r="I559" s="36" t="s">
        <v>232</v>
      </c>
      <c r="J559" s="36" t="s">
        <v>231</v>
      </c>
      <c r="K559" s="30">
        <v>1242075</v>
      </c>
      <c r="L559" s="57"/>
    </row>
    <row r="560" spans="1:12">
      <c r="A560" s="214"/>
      <c r="B560" s="228"/>
      <c r="C560" s="228"/>
      <c r="D560" s="228"/>
      <c r="E560" s="228"/>
      <c r="F560" s="228"/>
      <c r="G560" s="26" t="str">
        <f ca="1">IFERROR(__xludf.DUMMYFUNCTION("IF(I562="""","""",FILTER(DATOS!$D$4:$D$237,DATOS!$B$4:$B$237=I562))"),"18-031")</f>
        <v>18-031</v>
      </c>
      <c r="H560" s="26" t="str">
        <f ca="1">IFERROR(__xludf.DUMMYFUNCTION("IF(I562="""","""",FILTER(DATOS!$C$4:$C$237,DATOS!$B$4:$B$237=I562))"),"RAFAEL URIBE")</f>
        <v>RAFAEL URIBE</v>
      </c>
      <c r="I560" s="36" t="s">
        <v>233</v>
      </c>
      <c r="J560" s="36" t="s">
        <v>231</v>
      </c>
      <c r="K560" s="30">
        <v>1242075</v>
      </c>
      <c r="L560" s="57"/>
    </row>
    <row r="561" spans="1:12">
      <c r="A561" s="214"/>
      <c r="B561" s="228"/>
      <c r="C561" s="228"/>
      <c r="D561" s="228"/>
      <c r="E561" s="228"/>
      <c r="F561" s="228"/>
      <c r="G561" s="26" t="str">
        <f ca="1">IFERROR(__xludf.DUMMYFUNCTION("IF(I563="""","""",FILTER(DATOS!$D$4:$D$237,DATOS!$B$4:$B$237=I563))"),"17-008")</f>
        <v>17-008</v>
      </c>
      <c r="H561" s="26" t="str">
        <f ca="1">IFERROR(__xludf.DUMMYFUNCTION("IF(I563="""","""",FILTER(DATOS!$C$4:$C$237,DATOS!$B$4:$B$237=I563))"),"CANDELARIA")</f>
        <v>CANDELARIA</v>
      </c>
      <c r="I561" s="36" t="s">
        <v>172</v>
      </c>
      <c r="J561" s="36" t="s">
        <v>231</v>
      </c>
      <c r="K561" s="30">
        <v>1242075</v>
      </c>
      <c r="L561" s="57"/>
    </row>
    <row r="562" spans="1:12">
      <c r="A562" s="214"/>
      <c r="B562" s="228"/>
      <c r="C562" s="228"/>
      <c r="D562" s="228"/>
      <c r="E562" s="228"/>
      <c r="F562" s="228"/>
      <c r="G562" s="26" t="str">
        <f ca="1">IFERROR(__xludf.DUMMYFUNCTION("IF(I564="""","""",FILTER(DATOS!$D$4:$D$237,DATOS!$B$4:$B$237=I564))"),"18-162")</f>
        <v>18-162</v>
      </c>
      <c r="H562" s="26" t="str">
        <f ca="1">IFERROR(__xludf.DUMMYFUNCTION("IF(I564="""","""",FILTER(DATOS!$C$4:$C$237,DATOS!$B$4:$B$237=I564))"),"RAFAEL URIBE")</f>
        <v>RAFAEL URIBE</v>
      </c>
      <c r="I562" s="36" t="s">
        <v>113</v>
      </c>
      <c r="J562" s="36" t="s">
        <v>231</v>
      </c>
      <c r="K562" s="30">
        <v>2380137</v>
      </c>
      <c r="L562" s="57"/>
    </row>
    <row r="563" spans="1:12" ht="60">
      <c r="A563" s="214"/>
      <c r="B563" s="228"/>
      <c r="C563" s="228"/>
      <c r="D563" s="228"/>
      <c r="E563" s="228"/>
      <c r="F563" s="228"/>
      <c r="G563" s="26" t="str">
        <f ca="1">IFERROR(__xludf.DUMMYFUNCTION("IF(I565="""","""",FILTER(DATOS!$D$4:$D$237,DATOS!$B$4:$B$237=I565))"),"04-122")</f>
        <v>04-122</v>
      </c>
      <c r="H563" s="26" t="str">
        <f ca="1">IFERROR(__xludf.DUMMYFUNCTION("IF(I565="""","""",FILTER(DATOS!$C$4:$C$237,DATOS!$B$4:$B$237=I565))"),"SAN CRISTOBAL")</f>
        <v>SAN CRISTOBAL</v>
      </c>
      <c r="I563" s="36" t="s">
        <v>108</v>
      </c>
      <c r="J563" s="36" t="s">
        <v>234</v>
      </c>
      <c r="K563" s="30">
        <v>41261046</v>
      </c>
      <c r="L563" s="57"/>
    </row>
    <row r="564" spans="1:12">
      <c r="A564" s="214"/>
      <c r="B564" s="228"/>
      <c r="C564" s="228"/>
      <c r="D564" s="228"/>
      <c r="E564" s="228"/>
      <c r="F564" s="228"/>
      <c r="G564" s="26" t="str">
        <f ca="1">IFERROR(__xludf.DUMMYFUNCTION("IF(I566="""","""",FILTER(DATOS!$D$4:$D$237,DATOS!$B$4:$B$237=I566))"),"19-349")</f>
        <v>19-349</v>
      </c>
      <c r="H564" s="26" t="str">
        <f ca="1">IFERROR(__xludf.DUMMYFUNCTION("IF(I566="""","""",FILTER(DATOS!$C$4:$C$237,DATOS!$B$4:$B$237=I566))"),"CIUDAD BOLIVAR")</f>
        <v>CIUDAD BOLIVAR</v>
      </c>
      <c r="I564" s="36" t="s">
        <v>235</v>
      </c>
      <c r="J564" s="36" t="s">
        <v>231</v>
      </c>
      <c r="K564" s="30">
        <v>1242075</v>
      </c>
      <c r="L564" s="57"/>
    </row>
    <row r="565" spans="1:12">
      <c r="A565" s="214"/>
      <c r="B565" s="228"/>
      <c r="C565" s="228"/>
      <c r="D565" s="228"/>
      <c r="E565" s="228"/>
      <c r="F565" s="228"/>
      <c r="G565" s="26" t="str">
        <f ca="1">IFERROR(__xludf.DUMMYFUNCTION("IF(I567="""","""",FILTER(DATOS!$D$4:$D$237,DATOS!$B$4:$B$237=I567))"),"11-113")</f>
        <v>11-113</v>
      </c>
      <c r="H565" s="26" t="str">
        <f ca="1">IFERROR(__xludf.DUMMYFUNCTION("IF(I567="""","""",FILTER(DATOS!$C$4:$C$237,DATOS!$B$4:$B$237=I567))"),"SUBA")</f>
        <v>SUBA</v>
      </c>
      <c r="I565" s="36" t="s">
        <v>236</v>
      </c>
      <c r="J565" s="36" t="s">
        <v>231</v>
      </c>
      <c r="K565" s="30">
        <v>1242075</v>
      </c>
      <c r="L565" s="57"/>
    </row>
    <row r="566" spans="1:12">
      <c r="A566" s="214"/>
      <c r="B566" s="228"/>
      <c r="C566" s="228"/>
      <c r="D566" s="228"/>
      <c r="E566" s="228"/>
      <c r="F566" s="228"/>
      <c r="G566" s="26" t="str">
        <f ca="1">IFERROR(__xludf.DUMMYFUNCTION("IF(I568="""","""",FILTER(DATOS!$D$4:$D$237,DATOS!$B$4:$B$237=I568))"),"05-236")</f>
        <v>05-236</v>
      </c>
      <c r="H566" s="26" t="str">
        <f ca="1">IFERROR(__xludf.DUMMYFUNCTION("IF(I568="""","""",FILTER(DATOS!$C$4:$C$237,DATOS!$B$4:$B$237=I568))"),"USME")</f>
        <v>USME</v>
      </c>
      <c r="I566" s="36" t="s">
        <v>122</v>
      </c>
      <c r="J566" s="36" t="s">
        <v>231</v>
      </c>
      <c r="K566" s="30">
        <v>2380137</v>
      </c>
      <c r="L566" s="57"/>
    </row>
    <row r="567" spans="1:12" ht="60">
      <c r="A567" s="214"/>
      <c r="B567" s="228"/>
      <c r="C567" s="228"/>
      <c r="D567" s="228"/>
      <c r="E567" s="228"/>
      <c r="F567" s="228"/>
      <c r="G567" s="26" t="str">
        <f ca="1">IFERROR(__xludf.DUMMYFUNCTION("IF(I569="""","""",FILTER(DATOS!$D$4:$D$237,DATOS!$B$4:$B$237=I569))"),"04-127")</f>
        <v>04-127</v>
      </c>
      <c r="H567" s="26" t="str">
        <f ca="1">IFERROR(__xludf.DUMMYFUNCTION("IF(I569="""","""",FILTER(DATOS!$C$4:$C$237,DATOS!$B$4:$B$237=I569))"),"SAN CRISTOBAL")</f>
        <v>SAN CRISTOBAL</v>
      </c>
      <c r="I567" s="36" t="s">
        <v>123</v>
      </c>
      <c r="J567" s="36" t="s">
        <v>237</v>
      </c>
      <c r="K567" s="30">
        <v>6170436</v>
      </c>
      <c r="L567" s="57"/>
    </row>
    <row r="568" spans="1:12">
      <c r="A568" s="214"/>
      <c r="B568" s="228"/>
      <c r="C568" s="228"/>
      <c r="D568" s="228"/>
      <c r="E568" s="228"/>
      <c r="F568" s="228"/>
      <c r="G568" s="26" t="str">
        <f ca="1">IFERROR(__xludf.DUMMYFUNCTION("IF(I570="""","""",FILTER(DATOS!$D$4:$D$237,DATOS!$B$4:$B$237=I570))"),"11-212")</f>
        <v>11-212</v>
      </c>
      <c r="H568" s="26" t="str">
        <f ca="1">IFERROR(__xludf.DUMMYFUNCTION("IF(I570="""","""",FILTER(DATOS!$C$4:$C$237,DATOS!$B$4:$B$237=I570))"),"SUBA")</f>
        <v>SUBA</v>
      </c>
      <c r="I568" s="36" t="s">
        <v>27</v>
      </c>
      <c r="J568" s="36" t="s">
        <v>231</v>
      </c>
      <c r="K568" s="30">
        <v>1807936</v>
      </c>
      <c r="L568" s="57"/>
    </row>
    <row r="569" spans="1:12" ht="24">
      <c r="A569" s="214"/>
      <c r="B569" s="228"/>
      <c r="C569" s="228"/>
      <c r="D569" s="228"/>
      <c r="E569" s="228"/>
      <c r="F569" s="228"/>
      <c r="G569" s="26" t="str">
        <f ca="1">IFERROR(__xludf.DUMMYFUNCTION("IF(I571="""","""",FILTER(DATOS!$D$4:$D$237,DATOS!$B$4:$B$237=I571))"),"07-274")</f>
        <v>07-274</v>
      </c>
      <c r="H569" s="26" t="str">
        <f ca="1">IFERROR(__xludf.DUMMYFUNCTION("IF(I571="""","""",FILTER(DATOS!$C$4:$C$237,DATOS!$B$4:$B$237=I571))"),"BOSA")</f>
        <v>BOSA</v>
      </c>
      <c r="I569" s="36" t="s">
        <v>130</v>
      </c>
      <c r="J569" s="36" t="s">
        <v>238</v>
      </c>
      <c r="K569" s="30">
        <v>13049976</v>
      </c>
      <c r="L569" s="57"/>
    </row>
    <row r="570" spans="1:12" ht="72">
      <c r="A570" s="214"/>
      <c r="B570" s="228"/>
      <c r="C570" s="228"/>
      <c r="D570" s="228"/>
      <c r="E570" s="228"/>
      <c r="F570" s="228"/>
      <c r="G570" s="26" t="str">
        <f ca="1">IFERROR(__xludf.DUMMYFUNCTION("IF(I572="""","""",FILTER(DATOS!$D$4:$D$237,DATOS!$B$4:$B$237=I572))"),"09-125")</f>
        <v>09-125</v>
      </c>
      <c r="H570" s="26" t="str">
        <f ca="1">IFERROR(__xludf.DUMMYFUNCTION("IF(I572="""","""",FILTER(DATOS!$C$4:$C$237,DATOS!$B$4:$B$237=I572))"),"FONTIBON")</f>
        <v>FONTIBON</v>
      </c>
      <c r="I570" s="36" t="s">
        <v>67</v>
      </c>
      <c r="J570" s="36" t="s">
        <v>239</v>
      </c>
      <c r="K570" s="30">
        <v>42309163</v>
      </c>
      <c r="L570" s="57"/>
    </row>
    <row r="571" spans="1:12">
      <c r="A571" s="214"/>
      <c r="B571" s="228"/>
      <c r="C571" s="228"/>
      <c r="D571" s="228"/>
      <c r="E571" s="228"/>
      <c r="F571" s="228"/>
      <c r="G571" s="26" t="str">
        <f ca="1">IFERROR(__xludf.DUMMYFUNCTION("IF(I573="""","""",FILTER(DATOS!$D$4:$D$237,DATOS!$B$4:$B$237=I573))"),"19-347")</f>
        <v>19-347</v>
      </c>
      <c r="H571" s="26" t="str">
        <f ca="1">IFERROR(__xludf.DUMMYFUNCTION("IF(I573="""","""",FILTER(DATOS!$C$4:$C$237,DATOS!$B$4:$B$237=I573))"),"CIUDAD BOLIVAR")</f>
        <v>CIUDAD BOLIVAR</v>
      </c>
      <c r="I571" s="36" t="s">
        <v>75</v>
      </c>
      <c r="J571" s="36" t="s">
        <v>231</v>
      </c>
      <c r="K571" s="30">
        <v>1242075</v>
      </c>
      <c r="L571" s="57"/>
    </row>
    <row r="572" spans="1:12">
      <c r="A572" s="214"/>
      <c r="B572" s="228"/>
      <c r="C572" s="228"/>
      <c r="D572" s="228"/>
      <c r="E572" s="228"/>
      <c r="F572" s="228"/>
      <c r="G572" s="26" t="str">
        <f ca="1">IFERROR(__xludf.DUMMYFUNCTION("IF(I574="""","""",FILTER(DATOS!$D$4:$D$237,DATOS!$B$4:$B$237=I574))"),"07-163")</f>
        <v>07-163</v>
      </c>
      <c r="H572" s="26" t="str">
        <f ca="1">IFERROR(__xludf.DUMMYFUNCTION("IF(I574="""","""",FILTER(DATOS!$C$4:$C$237,DATOS!$B$4:$B$237=I574))"),"BOSA")</f>
        <v>BOSA</v>
      </c>
      <c r="I572" s="36" t="s">
        <v>80</v>
      </c>
      <c r="J572" s="36" t="s">
        <v>231</v>
      </c>
      <c r="K572" s="30">
        <v>3518200</v>
      </c>
      <c r="L572" s="57"/>
    </row>
    <row r="573" spans="1:12" ht="144">
      <c r="A573" s="214"/>
      <c r="B573" s="228"/>
      <c r="C573" s="228"/>
      <c r="D573" s="228"/>
      <c r="E573" s="228"/>
      <c r="F573" s="228"/>
      <c r="G573" s="26" t="str">
        <f ca="1">IFERROR(__xludf.DUMMYFUNCTION("IF(I575="""","""",FILTER(DATOS!$D$4:$D$237,DATOS!$B$4:$B$237=I575))"),"03-035")</f>
        <v>03-035</v>
      </c>
      <c r="H573" s="26" t="str">
        <f ca="1">IFERROR(__xludf.DUMMYFUNCTION("IF(I575="""","""",FILTER(DATOS!$C$4:$C$237,DATOS!$B$4:$B$237=I575))"),"SANTAFE")</f>
        <v>SANTAFE</v>
      </c>
      <c r="I573" s="35" t="s">
        <v>46</v>
      </c>
      <c r="J573" s="84" t="s">
        <v>240</v>
      </c>
      <c r="K573" s="30">
        <v>148991951</v>
      </c>
      <c r="L573" s="57"/>
    </row>
    <row r="574" spans="1:12" ht="36.75">
      <c r="A574" s="214"/>
      <c r="B574" s="228"/>
      <c r="C574" s="228"/>
      <c r="D574" s="228"/>
      <c r="E574" s="228"/>
      <c r="F574" s="228"/>
      <c r="G574" s="26" t="str">
        <f ca="1">IFERROR(__xludf.DUMMYFUNCTION("IF(I576="""","""",FILTER(DATOS!$D$4:$D$237,DATOS!$B$4:$B$237=I576))"),"10-192")</f>
        <v>10-192</v>
      </c>
      <c r="H574" s="26" t="str">
        <f ca="1">IFERROR(__xludf.DUMMYFUNCTION("IF(I576="""","""",FILTER(DATOS!$C$4:$C$237,DATOS!$B$4:$B$237=I576))"),"ENGATIVA")</f>
        <v>ENGATIVA</v>
      </c>
      <c r="I574" s="85" t="s">
        <v>33</v>
      </c>
      <c r="J574" s="66" t="s">
        <v>241</v>
      </c>
      <c r="K574" s="30">
        <v>15603586</v>
      </c>
      <c r="L574" s="57"/>
    </row>
    <row r="575" spans="1:12" ht="36.75">
      <c r="A575" s="214"/>
      <c r="B575" s="228"/>
      <c r="C575" s="228"/>
      <c r="D575" s="228"/>
      <c r="E575" s="228"/>
      <c r="F575" s="228"/>
      <c r="G575" s="32" t="str">
        <f ca="1">IFERROR(__xludf.DUMMYFUNCTION("IF(I577="""","""",FILTER(DATOS!$D$4:$D$237,DATOS!$B$4:$B$237=I577))"),"12-1000")</f>
        <v>12-1000</v>
      </c>
      <c r="H575" s="32" t="str">
        <f ca="1">IFERROR(__xludf.DUMMYFUNCTION("IF(I577="""","""",FILTER(DATOS!$C$4:$C$237,DATOS!$B$4:$B$237=I577))"),"BARRIOS UNIDOS")</f>
        <v>BARRIOS UNIDOS</v>
      </c>
      <c r="I575" s="85" t="s">
        <v>28</v>
      </c>
      <c r="J575" s="66" t="s">
        <v>242</v>
      </c>
      <c r="K575" s="30">
        <v>3825327</v>
      </c>
      <c r="L575" s="57"/>
    </row>
    <row r="576" spans="1:12" ht="72.75">
      <c r="A576" s="214"/>
      <c r="B576" s="228"/>
      <c r="C576" s="228"/>
      <c r="D576" s="228"/>
      <c r="E576" s="228"/>
      <c r="F576" s="228"/>
      <c r="G576" s="26" t="str">
        <f ca="1">IFERROR(__xludf.DUMMYFUNCTION("IF(I578="""","""",FILTER(DATOS!$D$4:$D$237,DATOS!$B$4:$B$237=I578))"),"10-531")</f>
        <v>10-531</v>
      </c>
      <c r="H576" s="26" t="str">
        <f ca="1">IFERROR(__xludf.DUMMYFUNCTION("IF(I578="""","""",FILTER(DATOS!$C$4:$C$237,DATOS!$B$4:$B$237=I578))"),"ENGATIVA")</f>
        <v>ENGATIVA</v>
      </c>
      <c r="I576" s="39" t="s">
        <v>52</v>
      </c>
      <c r="J576" s="66" t="s">
        <v>243</v>
      </c>
      <c r="K576" s="30">
        <v>50379031</v>
      </c>
      <c r="L576" s="57"/>
    </row>
    <row r="577" spans="1:12" ht="120.75">
      <c r="A577" s="214"/>
      <c r="B577" s="228"/>
      <c r="C577" s="228"/>
      <c r="D577" s="228"/>
      <c r="E577" s="228"/>
      <c r="F577" s="228"/>
      <c r="G577" s="26" t="str">
        <f ca="1">IFERROR(__xludf.DUMMYFUNCTION("IF(I579="""","""",FILTER(DATOS!$D$4:$D$237,DATOS!$B$4:$B$237=I579))"),"03-085")</f>
        <v>03-085</v>
      </c>
      <c r="H577" s="26" t="str">
        <f ca="1">IFERROR(__xludf.DUMMYFUNCTION("IF(I579="""","""",FILTER(DATOS!$C$4:$C$237,DATOS!$B$4:$B$237=I579))"),"SANTAFE")</f>
        <v>SANTAFE</v>
      </c>
      <c r="I577" s="39" t="s">
        <v>129</v>
      </c>
      <c r="J577" s="66" t="s">
        <v>244</v>
      </c>
      <c r="K577" s="30">
        <v>13661053</v>
      </c>
      <c r="L577" s="57"/>
    </row>
    <row r="578" spans="1:12" ht="96.75">
      <c r="A578" s="214"/>
      <c r="B578" s="228"/>
      <c r="C578" s="228"/>
      <c r="D578" s="228"/>
      <c r="E578" s="228"/>
      <c r="F578" s="228"/>
      <c r="G578" s="26" t="str">
        <f ca="1">IFERROR(__xludf.DUMMYFUNCTION("IF(I580="""","""",FILTER(DATOS!$D$4:$D$237,DATOS!$B$4:$B$237=I580))"),"04-103")</f>
        <v>04-103</v>
      </c>
      <c r="H578" s="26" t="str">
        <f ca="1">IFERROR(__xludf.DUMMYFUNCTION("IF(I580="""","""",FILTER(DATOS!$C$4:$C$237,DATOS!$B$4:$B$237=I580))"),"SAN CRISTOBAL")</f>
        <v>SAN CRISTOBAL</v>
      </c>
      <c r="I578" s="39" t="s">
        <v>95</v>
      </c>
      <c r="J578" s="66" t="s">
        <v>245</v>
      </c>
      <c r="K578" s="30">
        <v>45995577</v>
      </c>
      <c r="L578" s="57"/>
    </row>
    <row r="579" spans="1:12" ht="132">
      <c r="A579" s="214"/>
      <c r="B579" s="228"/>
      <c r="C579" s="228"/>
      <c r="D579" s="228"/>
      <c r="E579" s="228"/>
      <c r="F579" s="228"/>
      <c r="G579" s="26" t="str">
        <f ca="1">IFERROR(__xludf.DUMMYFUNCTION("IF(I581="""","""",FILTER(DATOS!$D$4:$D$237,DATOS!$B$4:$B$237=I581))"),"10-169")</f>
        <v>10-169</v>
      </c>
      <c r="H579" s="26" t="str">
        <f ca="1">IFERROR(__xludf.DUMMYFUNCTION("IF(I581="""","""",FILTER(DATOS!$C$4:$C$237,DATOS!$B$4:$B$237=I581))"),"ENGATIVA")</f>
        <v>ENGATIVA</v>
      </c>
      <c r="I579" s="39" t="s">
        <v>30</v>
      </c>
      <c r="J579" s="86" t="s">
        <v>246</v>
      </c>
      <c r="K579" s="30">
        <v>283447316</v>
      </c>
      <c r="L579" s="57"/>
    </row>
    <row r="580" spans="1:12" ht="24.75">
      <c r="A580" s="214"/>
      <c r="B580" s="228"/>
      <c r="C580" s="228"/>
      <c r="D580" s="228"/>
      <c r="E580" s="228"/>
      <c r="F580" s="228"/>
      <c r="G580" s="26" t="str">
        <f ca="1">IFERROR(__xludf.DUMMYFUNCTION("IF(I582="""","""",FILTER(DATOS!$D$4:$D$237,DATOS!$B$4:$B$237=I582))"),"13-038")</f>
        <v>13-038</v>
      </c>
      <c r="H580" s="26" t="str">
        <f ca="1">IFERROR(__xludf.DUMMYFUNCTION("IF(I582="""","""",FILTER(DATOS!$C$4:$C$237,DATOS!$B$4:$B$237=I582))"),"TEUSAQUILLO")</f>
        <v>TEUSAQUILLO</v>
      </c>
      <c r="I580" s="39" t="s">
        <v>247</v>
      </c>
      <c r="J580" s="66" t="s">
        <v>248</v>
      </c>
      <c r="K580" s="30">
        <v>2380137</v>
      </c>
      <c r="L580" s="57"/>
    </row>
    <row r="581" spans="1:12" ht="48.75">
      <c r="A581" s="214"/>
      <c r="B581" s="228"/>
      <c r="C581" s="228"/>
      <c r="D581" s="228"/>
      <c r="E581" s="228"/>
      <c r="F581" s="228"/>
      <c r="G581" s="26" t="str">
        <f ca="1">IFERROR(__xludf.DUMMYFUNCTION("IF(I583="""","""",FILTER(DATOS!$D$4:$D$237,DATOS!$B$4:$B$237=I583))"),"11-078")</f>
        <v>11-078</v>
      </c>
      <c r="H581" s="26" t="str">
        <f ca="1">IFERROR(__xludf.DUMMYFUNCTION("IF(I583="""","""",FILTER(DATOS!$C$4:$C$237,DATOS!$B$4:$B$237=I583))"),"SUBA")</f>
        <v>SUBA</v>
      </c>
      <c r="I581" s="39" t="s">
        <v>149</v>
      </c>
      <c r="J581" s="66" t="s">
        <v>249</v>
      </c>
      <c r="K581" s="30">
        <v>34744822</v>
      </c>
      <c r="L581" s="57"/>
    </row>
    <row r="582" spans="1:12" ht="24.75">
      <c r="A582" s="214"/>
      <c r="B582" s="228"/>
      <c r="C582" s="228"/>
      <c r="D582" s="228"/>
      <c r="E582" s="228"/>
      <c r="F582" s="228"/>
      <c r="G582" s="26" t="str">
        <f ca="1">IFERROR(__xludf.DUMMYFUNCTION("IF(I584="""","""",FILTER(DATOS!$D$4:$D$237,DATOS!$B$4:$B$237=I584))"),"10-018")</f>
        <v>10-018</v>
      </c>
      <c r="H582" s="26" t="str">
        <f ca="1">IFERROR(__xludf.DUMMYFUNCTION("IF(I584="""","""",FILTER(DATOS!$C$4:$C$237,DATOS!$B$4:$B$237=I584))"),"ENGATIVA")</f>
        <v>ENGATIVA</v>
      </c>
      <c r="I582" s="85" t="s">
        <v>64</v>
      </c>
      <c r="J582" s="66" t="s">
        <v>250</v>
      </c>
      <c r="K582" s="30">
        <v>1138062</v>
      </c>
      <c r="L582" s="57"/>
    </row>
    <row r="583" spans="1:12" ht="24.75">
      <c r="A583" s="214"/>
      <c r="B583" s="228"/>
      <c r="C583" s="228"/>
      <c r="D583" s="228"/>
      <c r="E583" s="228"/>
      <c r="F583" s="228"/>
      <c r="G583" s="26" t="str">
        <f ca="1">IFERROR(__xludf.DUMMYFUNCTION("IF(I585="""","""",FILTER(DATOS!$D$4:$D$237,DATOS!$B$4:$B$237=I585))"),"09-020")</f>
        <v>09-020</v>
      </c>
      <c r="H583" s="26" t="str">
        <f ca="1">IFERROR(__xludf.DUMMYFUNCTION("IF(I585="""","""",FILTER(DATOS!$C$4:$C$237,DATOS!$B$4:$B$237=I585))"),"FONTIBON")</f>
        <v>FONTIBON</v>
      </c>
      <c r="I583" s="85" t="s">
        <v>251</v>
      </c>
      <c r="J583" s="66" t="s">
        <v>250</v>
      </c>
      <c r="K583" s="30">
        <v>1138062</v>
      </c>
      <c r="L583" s="57"/>
    </row>
    <row r="584" spans="1:12" ht="132.75">
      <c r="A584" s="214"/>
      <c r="B584" s="228"/>
      <c r="C584" s="228"/>
      <c r="D584" s="228"/>
      <c r="E584" s="228"/>
      <c r="F584" s="228"/>
      <c r="G584" s="26" t="str">
        <f ca="1">IFERROR(__xludf.DUMMYFUNCTION("IF(I586="""","""",FILTER(DATOS!$D$4:$D$237,DATOS!$B$4:$B$237=I586))"),"11-069")</f>
        <v>11-069</v>
      </c>
      <c r="H584" s="26" t="str">
        <f ca="1">IFERROR(__xludf.DUMMYFUNCTION("IF(I586="""","""",FILTER(DATOS!$C$4:$C$237,DATOS!$B$4:$B$237=I586))"),"SUBA")</f>
        <v>SUBA</v>
      </c>
      <c r="I584" s="39" t="s">
        <v>26</v>
      </c>
      <c r="J584" s="66" t="s">
        <v>252</v>
      </c>
      <c r="K584" s="30">
        <v>43339034</v>
      </c>
      <c r="L584" s="57"/>
    </row>
    <row r="585" spans="1:12" ht="24.75">
      <c r="A585" s="214"/>
      <c r="B585" s="228"/>
      <c r="C585" s="228"/>
      <c r="D585" s="228"/>
      <c r="E585" s="228"/>
      <c r="F585" s="228"/>
      <c r="G585" s="26" t="str">
        <f ca="1">IFERROR(__xludf.DUMMYFUNCTION("IF(I587="""","""",FILTER(DATOS!$D$4:$D$237,DATOS!$B$4:$B$237=I587))"),"08-144")</f>
        <v>08-144</v>
      </c>
      <c r="H585" s="26" t="str">
        <f ca="1">IFERROR(__xludf.DUMMYFUNCTION("IF(I587="""","""",FILTER(DATOS!$C$4:$C$237,DATOS!$B$4:$B$237=I587))"),"KENNEDY")</f>
        <v>KENNEDY</v>
      </c>
      <c r="I585" s="85" t="s">
        <v>81</v>
      </c>
      <c r="J585" s="66" t="s">
        <v>250</v>
      </c>
      <c r="K585" s="30">
        <v>1138062</v>
      </c>
      <c r="L585" s="57"/>
    </row>
    <row r="586" spans="1:12">
      <c r="A586" s="214"/>
      <c r="B586" s="228"/>
      <c r="C586" s="228"/>
      <c r="D586" s="228"/>
      <c r="E586" s="228"/>
      <c r="F586" s="228"/>
      <c r="G586" s="26" t="str">
        <f ca="1">IFERROR(__xludf.DUMMYFUNCTION("IF(I588="""","""",FILTER(DATOS!$D$4:$D$237,DATOS!$B$4:$B$237=I588))"),"19-188")</f>
        <v>19-188</v>
      </c>
      <c r="H586" s="26" t="str">
        <f ca="1">IFERROR(__xludf.DUMMYFUNCTION("IF(I588="""","""",FILTER(DATOS!$C$4:$C$237,DATOS!$B$4:$B$237=I588))"),"CIUDAD BOLIVAR")</f>
        <v>CIUDAD BOLIVAR</v>
      </c>
      <c r="I586" s="85" t="s">
        <v>72</v>
      </c>
      <c r="J586" s="66" t="s">
        <v>253</v>
      </c>
      <c r="K586" s="30">
        <v>10293094</v>
      </c>
      <c r="L586" s="57"/>
    </row>
    <row r="587" spans="1:12">
      <c r="A587" s="214"/>
      <c r="B587" s="228"/>
      <c r="C587" s="228"/>
      <c r="D587" s="228"/>
      <c r="E587" s="228"/>
      <c r="F587" s="228"/>
      <c r="G587" s="26" t="str">
        <f ca="1">IFERROR(__xludf.DUMMYFUNCTION("IF(I589="""","""",FILTER(DATOS!$D$4:$D$237,DATOS!$B$4:$B$237=I589))"),"19-190")</f>
        <v>19-190</v>
      </c>
      <c r="H587" s="26" t="str">
        <f ca="1">IFERROR(__xludf.DUMMYFUNCTION("IF(I589="""","""",FILTER(DATOS!$C$4:$C$237,DATOS!$B$4:$B$237=I589))"),"CIUDAD BOLIVAR")</f>
        <v>CIUDAD BOLIVAR</v>
      </c>
      <c r="I587" s="85" t="s">
        <v>127</v>
      </c>
      <c r="J587" s="66" t="s">
        <v>253</v>
      </c>
      <c r="K587" s="30">
        <v>10293094</v>
      </c>
      <c r="L587" s="57"/>
    </row>
    <row r="588" spans="1:12">
      <c r="A588" s="214"/>
      <c r="B588" s="228"/>
      <c r="C588" s="228"/>
      <c r="D588" s="228"/>
      <c r="E588" s="228"/>
      <c r="F588" s="228"/>
      <c r="G588" s="26" t="str">
        <f ca="1">IFERROR(__xludf.DUMMYFUNCTION("IF(I590="""","""",FILTER(DATOS!$D$4:$D$237,DATOS!$B$4:$B$237=I590))"),"07-165")</f>
        <v>07-165</v>
      </c>
      <c r="H588" s="26" t="str">
        <f ca="1">IFERROR(__xludf.DUMMYFUNCTION("IF(I590="""","""",FILTER(DATOS!$C$4:$C$237,DATOS!$B$4:$B$237=I590))"),"BOSA")</f>
        <v>BOSA</v>
      </c>
      <c r="I588" s="83" t="s">
        <v>107</v>
      </c>
      <c r="J588" s="87" t="s">
        <v>254</v>
      </c>
      <c r="K588" s="30">
        <v>10583110</v>
      </c>
      <c r="L588" s="57"/>
    </row>
    <row r="589" spans="1:12" ht="84">
      <c r="A589" s="214"/>
      <c r="B589" s="228"/>
      <c r="C589" s="228"/>
      <c r="D589" s="228"/>
      <c r="E589" s="228"/>
      <c r="F589" s="228"/>
      <c r="G589" s="26" t="str">
        <f ca="1">IFERROR(__xludf.DUMMYFUNCTION("IF(I591="""","""",FILTER(DATOS!$D$4:$D$237,DATOS!$B$4:$B$237=I591))"),"07-391")</f>
        <v>07-391</v>
      </c>
      <c r="H589" s="26" t="str">
        <f ca="1">IFERROR(__xludf.DUMMYFUNCTION("IF(I591="""","""",FILTER(DATOS!$C$4:$C$237,DATOS!$B$4:$B$237=I591))"),"BOSA")</f>
        <v>BOSA</v>
      </c>
      <c r="I589" s="36" t="s">
        <v>119</v>
      </c>
      <c r="J589" s="36" t="s">
        <v>255</v>
      </c>
      <c r="K589" s="30">
        <v>10497665</v>
      </c>
      <c r="L589" s="57"/>
    </row>
    <row r="590" spans="1:12" ht="60">
      <c r="A590" s="214"/>
      <c r="B590" s="228"/>
      <c r="C590" s="228"/>
      <c r="D590" s="228"/>
      <c r="E590" s="228"/>
      <c r="F590" s="228"/>
      <c r="G590" s="26" t="str">
        <f ca="1">IFERROR(__xludf.DUMMYFUNCTION("IF(I592="""","""",FILTER(DATOS!$D$4:$D$237,DATOS!$B$4:$B$237=I592))"),"11-205")</f>
        <v>11-205</v>
      </c>
      <c r="H590" s="26" t="str">
        <f ca="1">IFERROR(__xludf.DUMMYFUNCTION("IF(I592="""","""",FILTER(DATOS!$C$4:$C$237,DATOS!$B$4:$B$237=I592))"),"SUBA")</f>
        <v>SUBA</v>
      </c>
      <c r="I590" s="36" t="s">
        <v>39</v>
      </c>
      <c r="J590" s="36" t="s">
        <v>256</v>
      </c>
      <c r="K590" s="30">
        <v>7649403</v>
      </c>
      <c r="L590" s="57"/>
    </row>
    <row r="591" spans="1:12" ht="24">
      <c r="A591" s="214"/>
      <c r="B591" s="228"/>
      <c r="C591" s="228"/>
      <c r="D591" s="228"/>
      <c r="E591" s="228"/>
      <c r="F591" s="228"/>
      <c r="G591" s="26" t="str">
        <f ca="1">IFERROR(__xludf.DUMMYFUNCTION("IF(I593="""","""",FILTER(DATOS!$D$4:$D$237,DATOS!$B$4:$B$237=I593))"),"10-311")</f>
        <v>10-311</v>
      </c>
      <c r="H591" s="26" t="str">
        <f ca="1">IFERROR(__xludf.DUMMYFUNCTION("IF(I593="""","""",FILTER(DATOS!$C$4:$C$237,DATOS!$B$4:$B$237=I593))"),"ENGATIVA")</f>
        <v>ENGATIVA</v>
      </c>
      <c r="I591" s="36" t="s">
        <v>38</v>
      </c>
      <c r="J591" s="36" t="s">
        <v>257</v>
      </c>
      <c r="K591" s="30">
        <v>11762247</v>
      </c>
      <c r="L591" s="57"/>
    </row>
    <row r="592" spans="1:12" ht="36">
      <c r="A592" s="214"/>
      <c r="B592" s="228"/>
      <c r="C592" s="228"/>
      <c r="D592" s="228"/>
      <c r="E592" s="228"/>
      <c r="F592" s="228"/>
      <c r="G592" s="26" t="str">
        <f ca="1">IFERROR(__xludf.DUMMYFUNCTION("IF(I594="""","""",FILTER(DATOS!$D$4:$D$237,DATOS!$B$4:$B$237=I594))"),"07-273")</f>
        <v>07-273</v>
      </c>
      <c r="H592" s="26" t="str">
        <f ca="1">IFERROR(__xludf.DUMMYFUNCTION("IF(I594="""","""",FILTER(DATOS!$C$4:$C$237,DATOS!$B$4:$B$237=I594))"),"BOSA")</f>
        <v>BOSA</v>
      </c>
      <c r="I592" s="36" t="s">
        <v>103</v>
      </c>
      <c r="J592" s="36" t="s">
        <v>258</v>
      </c>
      <c r="K592" s="30">
        <v>2782536</v>
      </c>
      <c r="L592" s="57"/>
    </row>
    <row r="593" spans="1:12" ht="24">
      <c r="A593" s="214"/>
      <c r="B593" s="228"/>
      <c r="C593" s="228"/>
      <c r="D593" s="228"/>
      <c r="E593" s="228"/>
      <c r="F593" s="228"/>
      <c r="G593" s="26" t="str">
        <f ca="1">IFERROR(__xludf.DUMMYFUNCTION("IF(I595="""","""",FILTER(DATOS!$D$4:$D$237,DATOS!$B$4:$B$237=I595))"),"16-099")</f>
        <v>16-099</v>
      </c>
      <c r="H593" s="26" t="str">
        <f ca="1">IFERROR(__xludf.DUMMYFUNCTION("IF(I595="""","""",FILTER(DATOS!$C$4:$C$237,DATOS!$B$4:$B$237=I595))"),"PUENTE ARANDA")</f>
        <v>PUENTE ARANDA</v>
      </c>
      <c r="I593" s="36" t="s">
        <v>112</v>
      </c>
      <c r="J593" s="36" t="s">
        <v>238</v>
      </c>
      <c r="K593" s="30">
        <v>2380137</v>
      </c>
      <c r="L593" s="57"/>
    </row>
    <row r="594" spans="1:12" ht="84">
      <c r="A594" s="214"/>
      <c r="B594" s="228"/>
      <c r="C594" s="228"/>
      <c r="D594" s="228"/>
      <c r="E594" s="228"/>
      <c r="F594" s="228"/>
      <c r="G594" s="26" t="str">
        <f ca="1">IFERROR(__xludf.DUMMYFUNCTION("IF(I596="""","""",FILTER(DATOS!$D$4:$D$237,DATOS!$B$4:$B$237=I596))"),"10-171")</f>
        <v>10-171</v>
      </c>
      <c r="H594" s="26" t="str">
        <f ca="1">IFERROR(__xludf.DUMMYFUNCTION("IF(I596="""","""",FILTER(DATOS!$C$4:$C$237,DATOS!$B$4:$B$237=I596))"),"ENGATIVA")</f>
        <v>ENGATIVA</v>
      </c>
      <c r="I594" s="36" t="s">
        <v>37</v>
      </c>
      <c r="J594" s="36" t="s">
        <v>259</v>
      </c>
      <c r="K594" s="30">
        <v>14323200</v>
      </c>
      <c r="L594" s="57"/>
    </row>
    <row r="595" spans="1:12">
      <c r="A595" s="214"/>
      <c r="B595" s="228"/>
      <c r="C595" s="228"/>
      <c r="D595" s="228"/>
      <c r="E595" s="228"/>
      <c r="F595" s="228"/>
      <c r="G595" s="26" t="str">
        <f ca="1">IFERROR(__xludf.DUMMYFUNCTION("IF(I597="""","""",FILTER(DATOS!$D$4:$D$237,DATOS!$B$4:$B$237=I597))"),"#N/A")</f>
        <v>#N/A</v>
      </c>
      <c r="H595" s="26" t="str">
        <f ca="1">IFERROR(__xludf.DUMMYFUNCTION("IF(I597="""","""",FILTER(DATOS!$C$4:$C$237,DATOS!$B$4:$B$237=I597))"),"#N/A")</f>
        <v>#N/A</v>
      </c>
      <c r="I595" s="36" t="s">
        <v>260</v>
      </c>
      <c r="J595" s="36" t="s">
        <v>261</v>
      </c>
      <c r="K595" s="30">
        <v>62067850</v>
      </c>
      <c r="L595" s="57"/>
    </row>
    <row r="596" spans="1:12" ht="60">
      <c r="A596" s="214"/>
      <c r="B596" s="228"/>
      <c r="C596" s="228"/>
      <c r="D596" s="228"/>
      <c r="E596" s="228"/>
      <c r="F596" s="228"/>
      <c r="G596" s="26" t="str">
        <f ca="1">IFERROR(__xludf.DUMMYFUNCTION("IF(I598="""","""",FILTER(DATOS!$D$4:$D$237,DATOS!$B$4:$B$237=I598))"),"03-039")</f>
        <v>03-039</v>
      </c>
      <c r="H596" s="26" t="str">
        <f ca="1">IFERROR(__xludf.DUMMYFUNCTION("IF(I598="""","""",FILTER(DATOS!$C$4:$C$237,DATOS!$B$4:$B$237=I598))"),"SANTAFE")</f>
        <v>SANTAFE</v>
      </c>
      <c r="I596" s="36" t="s">
        <v>40</v>
      </c>
      <c r="J596" s="36" t="s">
        <v>262</v>
      </c>
      <c r="K596" s="30">
        <v>25289554</v>
      </c>
      <c r="L596" s="57"/>
    </row>
    <row r="597" spans="1:12" ht="36">
      <c r="A597" s="214"/>
      <c r="B597" s="228"/>
      <c r="C597" s="228"/>
      <c r="D597" s="228"/>
      <c r="E597" s="228"/>
      <c r="F597" s="228"/>
      <c r="G597" s="26" t="str">
        <f ca="1">IFERROR(__xludf.DUMMYFUNCTION("IF(I599="""","""",FILTER(DATOS!$D$4:$D$237,DATOS!$B$4:$B$237=I599))"),"05-003")</f>
        <v>05-003</v>
      </c>
      <c r="H597" s="26" t="str">
        <f ca="1">IFERROR(__xludf.DUMMYFUNCTION("IF(I599="""","""",FILTER(DATOS!$C$4:$C$237,DATOS!$B$4:$B$237=I599))"),"USME")</f>
        <v>USME</v>
      </c>
      <c r="I597" s="36" t="s">
        <v>133</v>
      </c>
      <c r="J597" s="36" t="s">
        <v>263</v>
      </c>
      <c r="K597" s="30">
        <v>11361608</v>
      </c>
      <c r="L597" s="57"/>
    </row>
    <row r="598" spans="1:12" ht="108">
      <c r="A598" s="214"/>
      <c r="B598" s="228"/>
      <c r="C598" s="228"/>
      <c r="D598" s="228"/>
      <c r="E598" s="228"/>
      <c r="F598" s="228"/>
      <c r="G598" s="26" t="str">
        <f ca="1">IFERROR(__xludf.DUMMYFUNCTION("IF(I600="""","""",FILTER(DATOS!$D$4:$D$237,DATOS!$B$4:$B$237=I600))"),"08-200")</f>
        <v>08-200</v>
      </c>
      <c r="H598" s="26" t="str">
        <f ca="1">IFERROR(__xludf.DUMMYFUNCTION("IF(I600="""","""",FILTER(DATOS!$C$4:$C$237,DATOS!$B$4:$B$237=I600))"),"KENNEDY")</f>
        <v>KENNEDY</v>
      </c>
      <c r="I598" s="36" t="s">
        <v>77</v>
      </c>
      <c r="J598" s="36" t="s">
        <v>264</v>
      </c>
      <c r="K598" s="30">
        <v>478577808</v>
      </c>
      <c r="L598" s="57"/>
    </row>
    <row r="599" spans="1:12" ht="132">
      <c r="A599" s="214"/>
      <c r="B599" s="228"/>
      <c r="C599" s="228"/>
      <c r="D599" s="228"/>
      <c r="E599" s="228"/>
      <c r="F599" s="228"/>
      <c r="G599" s="26" t="str">
        <f ca="1">IFERROR(__xludf.DUMMYFUNCTION("IF(I601="""","""",FILTER(DATOS!$D$4:$D$237,DATOS!$B$4:$B$237=I601))"),"11-796")</f>
        <v>11-796</v>
      </c>
      <c r="H599" s="26" t="str">
        <f ca="1">IFERROR(__xludf.DUMMYFUNCTION("IF(I601="""","""",FILTER(DATOS!$C$4:$C$237,DATOS!$B$4:$B$237=I601))"),"SUBA")</f>
        <v>SUBA</v>
      </c>
      <c r="I599" s="36" t="s">
        <v>265</v>
      </c>
      <c r="J599" s="36" t="s">
        <v>266</v>
      </c>
      <c r="K599" s="30">
        <v>323914134</v>
      </c>
      <c r="L599" s="57"/>
    </row>
    <row r="600" spans="1:12" ht="84">
      <c r="A600" s="214"/>
      <c r="B600" s="228"/>
      <c r="C600" s="228"/>
      <c r="D600" s="228"/>
      <c r="E600" s="228"/>
      <c r="F600" s="228"/>
      <c r="G600" s="26" t="str">
        <f ca="1">IFERROR(__xludf.DUMMYFUNCTION("IF(I602="""","""",FILTER(DATOS!$D$4:$D$237,DATOS!$B$4:$B$237=I602))"),"07-036")</f>
        <v>07-036</v>
      </c>
      <c r="H600" s="26" t="str">
        <f ca="1">IFERROR(__xludf.DUMMYFUNCTION("IF(I602="""","""",FILTER(DATOS!$C$4:$C$237,DATOS!$B$4:$B$237=I602))"),"BOSA")</f>
        <v>BOSA</v>
      </c>
      <c r="I600" s="36" t="s">
        <v>131</v>
      </c>
      <c r="J600" s="36" t="s">
        <v>267</v>
      </c>
      <c r="K600" s="30">
        <v>67665382</v>
      </c>
      <c r="L600" s="57"/>
    </row>
    <row r="601" spans="1:12" ht="24">
      <c r="A601" s="214"/>
      <c r="B601" s="228"/>
      <c r="C601" s="228"/>
      <c r="D601" s="228"/>
      <c r="E601" s="228"/>
      <c r="F601" s="228"/>
      <c r="G601" s="26" t="str">
        <f ca="1">IFERROR(__xludf.DUMMYFUNCTION("IF(I603="""","""",FILTER(DATOS!$D$4:$D$237,DATOS!$B$4:$B$237=I603))"),"#N/A")</f>
        <v>#N/A</v>
      </c>
      <c r="H601" s="26" t="str">
        <f ca="1">IFERROR(__xludf.DUMMYFUNCTION("IF(I603="""","""",FILTER(DATOS!$C$4:$C$237,DATOS!$B$4:$B$237=I603))"),"#N/A")</f>
        <v>#N/A</v>
      </c>
      <c r="I601" s="36" t="s">
        <v>268</v>
      </c>
      <c r="J601" s="36" t="s">
        <v>269</v>
      </c>
      <c r="K601" s="30">
        <v>12254029</v>
      </c>
      <c r="L601" s="57"/>
    </row>
    <row r="602" spans="1:12" ht="36">
      <c r="A602" s="214"/>
      <c r="B602" s="228"/>
      <c r="C602" s="228"/>
      <c r="D602" s="228"/>
      <c r="E602" s="228"/>
      <c r="F602" s="228"/>
      <c r="G602" s="26" t="str">
        <f ca="1">IFERROR(__xludf.DUMMYFUNCTION("IF(I604="""","""",FILTER(DATOS!$D$4:$D$237,DATOS!$B$4:$B$237=I604))"),"15-027")</f>
        <v>15-027</v>
      </c>
      <c r="H602" s="26" t="str">
        <f ca="1">IFERROR(__xludf.DUMMYFUNCTION("IF(I604="""","""",FILTER(DATOS!$C$4:$C$237,DATOS!$B$4:$B$237=I604))"),"ANTONIO NARIÑO")</f>
        <v>ANTONIO NARIÑO</v>
      </c>
      <c r="I602" s="36" t="s">
        <v>270</v>
      </c>
      <c r="J602" s="36" t="s">
        <v>271</v>
      </c>
      <c r="K602" s="30">
        <v>7140411</v>
      </c>
      <c r="L602" s="57"/>
    </row>
    <row r="603" spans="1:12" ht="24">
      <c r="A603" s="214"/>
      <c r="B603" s="228"/>
      <c r="C603" s="228"/>
      <c r="D603" s="228"/>
      <c r="E603" s="228"/>
      <c r="F603" s="228"/>
      <c r="G603" s="26" t="str">
        <f ca="1">IFERROR(__xludf.DUMMYFUNCTION("IF(I605="""","""",FILTER(DATOS!$D$4:$D$237,DATOS!$B$4:$B$237=I605))"),"12-110")</f>
        <v>12-110</v>
      </c>
      <c r="H603" s="26" t="str">
        <f ca="1">IFERROR(__xludf.DUMMYFUNCTION("IF(I605="""","""",FILTER(DATOS!$C$4:$C$237,DATOS!$B$4:$B$237=I605))"),"BARRIOS UNIDOS")</f>
        <v>BARRIOS UNIDOS</v>
      </c>
      <c r="I603" s="31" t="s">
        <v>120</v>
      </c>
      <c r="J603" s="36" t="s">
        <v>272</v>
      </c>
      <c r="K603" s="30">
        <v>39095862</v>
      </c>
      <c r="L603" s="57"/>
    </row>
    <row r="604" spans="1:12">
      <c r="A604" s="214"/>
      <c r="B604" s="228"/>
      <c r="C604" s="228"/>
      <c r="D604" s="228"/>
      <c r="E604" s="228"/>
      <c r="F604" s="228"/>
      <c r="G604" s="71" t="str">
        <f ca="1">IFERROR(__xludf.DUMMYFUNCTION("IF(I606="""","""",FILTER(DATOS!$D$4:$D$237,DATOS!$B$4:$B$237=I606))"),"16-416")</f>
        <v>16-416</v>
      </c>
      <c r="H604" s="71" t="str">
        <f ca="1">IFERROR(__xludf.DUMMYFUNCTION("IF(I606="""","""",FILTER(DATOS!$C$4:$C$237,DATOS!$B$4:$B$237=I606))"),"PUENTE ARANDA")</f>
        <v>PUENTE ARANDA</v>
      </c>
      <c r="I604" s="31" t="s">
        <v>49</v>
      </c>
      <c r="J604" s="36" t="s">
        <v>273</v>
      </c>
      <c r="K604" s="30">
        <v>1111636</v>
      </c>
      <c r="L604" s="57"/>
    </row>
    <row r="605" spans="1:12">
      <c r="A605" s="214"/>
      <c r="B605" s="228"/>
      <c r="C605" s="228"/>
      <c r="D605" s="228"/>
      <c r="E605" s="228"/>
      <c r="F605" s="228"/>
      <c r="G605" s="71" t="str">
        <f ca="1">IFERROR(__xludf.DUMMYFUNCTION("IF(I607="""","""",FILTER(DATOS!$D$4:$D$237,DATOS!$B$4:$B$237=I607))"),"15-040")</f>
        <v>15-040</v>
      </c>
      <c r="H605" s="71" t="str">
        <f ca="1">IFERROR(__xludf.DUMMYFUNCTION("IF(I607="""","""",FILTER(DATOS!$C$4:$C$237,DATOS!$B$4:$B$237=I607))"),"ANTONIO NARIÑO")</f>
        <v>ANTONIO NARIÑO</v>
      </c>
      <c r="I605" s="31" t="s">
        <v>105</v>
      </c>
      <c r="J605" s="36" t="s">
        <v>274</v>
      </c>
      <c r="K605" s="30">
        <v>1928753</v>
      </c>
      <c r="L605" s="57"/>
    </row>
    <row r="606" spans="1:12">
      <c r="A606" s="214"/>
      <c r="B606" s="228"/>
      <c r="C606" s="228"/>
      <c r="D606" s="228"/>
      <c r="E606" s="228"/>
      <c r="F606" s="228"/>
      <c r="G606" s="71" t="str">
        <f ca="1">IFERROR(__xludf.DUMMYFUNCTION("IF(I608="""","""",FILTER(DATOS!$D$4:$D$237,DATOS!$B$4:$B$237=I608))"),"12-091")</f>
        <v>12-091</v>
      </c>
      <c r="H606" s="71" t="str">
        <f ca="1">IFERROR(__xludf.DUMMYFUNCTION("IF(I608="""","""",FILTER(DATOS!$C$4:$C$237,DATOS!$B$4:$B$237=I608))"),"BARRIOS UNIDOS")</f>
        <v>BARRIOS UNIDOS</v>
      </c>
      <c r="I606" s="31" t="s">
        <v>53</v>
      </c>
      <c r="J606" s="36" t="s">
        <v>274</v>
      </c>
      <c r="K606" s="30">
        <v>1600135</v>
      </c>
      <c r="L606" s="57"/>
    </row>
    <row r="607" spans="1:12">
      <c r="A607" s="214"/>
      <c r="B607" s="228"/>
      <c r="C607" s="228"/>
      <c r="D607" s="228"/>
      <c r="E607" s="228"/>
      <c r="F607" s="228"/>
      <c r="G607" s="71" t="str">
        <f ca="1">IFERROR(__xludf.DUMMYFUNCTION("IF(I609="""","""",FILTER(DATOS!$D$4:$D$237,DATOS!$B$4:$B$237=I609))"),"12-091")</f>
        <v>12-091</v>
      </c>
      <c r="H607" s="71" t="str">
        <f ca="1">IFERROR(__xludf.DUMMYFUNCTION("IF(I609="""","""",FILTER(DATOS!$C$4:$C$237,DATOS!$B$4:$B$237=I609))"),"BARRIOS UNIDOS")</f>
        <v>BARRIOS UNIDOS</v>
      </c>
      <c r="I607" s="31" t="s">
        <v>53</v>
      </c>
      <c r="J607" s="36" t="s">
        <v>275</v>
      </c>
      <c r="K607" s="30">
        <v>1153898</v>
      </c>
      <c r="L607" s="57"/>
    </row>
    <row r="608" spans="1:12">
      <c r="A608" s="214"/>
      <c r="B608" s="228"/>
      <c r="C608" s="228"/>
      <c r="D608" s="228"/>
      <c r="E608" s="228"/>
      <c r="F608" s="228"/>
      <c r="G608" s="88" t="str">
        <f ca="1">IFERROR(__xludf.DUMMYFUNCTION("IF(I610="""","""",FILTER(DATOS!$D$4:$D$237,DATOS!$B$4:$B$237=I610))"),"12-1000")</f>
        <v>12-1000</v>
      </c>
      <c r="H608" s="88" t="str">
        <f ca="1">IFERROR(__xludf.DUMMYFUNCTION("IF(I610="""","""",FILTER(DATOS!$C$4:$C$237,DATOS!$B$4:$B$237=I610))"),"BARRIOS UNIDOS")</f>
        <v>BARRIOS UNIDOS</v>
      </c>
      <c r="I608" s="31" t="s">
        <v>28</v>
      </c>
      <c r="J608" s="36" t="s">
        <v>276</v>
      </c>
      <c r="K608" s="30">
        <v>36041</v>
      </c>
      <c r="L608" s="57"/>
    </row>
    <row r="609" spans="1:12">
      <c r="A609" s="214"/>
      <c r="B609" s="228"/>
      <c r="C609" s="228"/>
      <c r="D609" s="228"/>
      <c r="E609" s="228"/>
      <c r="F609" s="228"/>
      <c r="G609" s="71" t="str">
        <f ca="1">IFERROR(__xludf.DUMMYFUNCTION("IF(I611="""","""",FILTER(DATOS!$D$4:$D$237,DATOS!$B$4:$B$237=I611))"),"15-036")</f>
        <v>15-036</v>
      </c>
      <c r="H609" s="71" t="str">
        <f ca="1">IFERROR(__xludf.DUMMYFUNCTION("IF(I611="""","""",FILTER(DATOS!$C$4:$C$237,DATOS!$B$4:$B$237=I611))"),"ANTONIO NARIÑO")</f>
        <v>ANTONIO NARIÑO</v>
      </c>
      <c r="I609" s="31" t="s">
        <v>137</v>
      </c>
      <c r="J609" s="36" t="s">
        <v>273</v>
      </c>
      <c r="K609" s="30">
        <v>1124826</v>
      </c>
      <c r="L609" s="57"/>
    </row>
    <row r="610" spans="1:12">
      <c r="A610" s="214"/>
      <c r="B610" s="228"/>
      <c r="C610" s="228"/>
      <c r="D610" s="228"/>
      <c r="E610" s="228"/>
      <c r="F610" s="228"/>
      <c r="G610" s="71" t="str">
        <f ca="1">IFERROR(__xludf.DUMMYFUNCTION("IF(I612="""","""",FILTER(DATOS!$D$4:$D$237,DATOS!$B$4:$B$237=I612))"),"12-023")</f>
        <v>12-023</v>
      </c>
      <c r="H610" s="71" t="str">
        <f ca="1">IFERROR(__xludf.DUMMYFUNCTION("IF(I612="""","""",FILTER(DATOS!$C$4:$C$237,DATOS!$B$4:$B$237=I612))"),"BARRIOS UNIDOS")</f>
        <v>BARRIOS UNIDOS</v>
      </c>
      <c r="I610" s="31" t="s">
        <v>36</v>
      </c>
      <c r="J610" s="36" t="s">
        <v>277</v>
      </c>
      <c r="K610" s="30">
        <v>1183894</v>
      </c>
      <c r="L610" s="57"/>
    </row>
    <row r="611" spans="1:12" ht="24">
      <c r="A611" s="214"/>
      <c r="B611" s="228"/>
      <c r="C611" s="228"/>
      <c r="D611" s="228"/>
      <c r="E611" s="228"/>
      <c r="F611" s="228"/>
      <c r="G611" s="71" t="str">
        <f ca="1">IFERROR(__xludf.DUMMYFUNCTION("IF(I613="""","""",FILTER(DATOS!$D$4:$D$237,DATOS!$B$4:$B$237=I613))"),"12-091")</f>
        <v>12-091</v>
      </c>
      <c r="H611" s="71" t="str">
        <f ca="1">IFERROR(__xludf.DUMMYFUNCTION("IF(I613="""","""",FILTER(DATOS!$C$4:$C$237,DATOS!$B$4:$B$237=I613))"),"BARRIOS UNIDOS")</f>
        <v>BARRIOS UNIDOS</v>
      </c>
      <c r="I611" s="31" t="s">
        <v>53</v>
      </c>
      <c r="J611" s="36" t="s">
        <v>278</v>
      </c>
      <c r="K611" s="30">
        <v>1517092</v>
      </c>
      <c r="L611" s="57"/>
    </row>
    <row r="612" spans="1:12">
      <c r="A612" s="214"/>
      <c r="B612" s="228"/>
      <c r="C612" s="228"/>
      <c r="D612" s="228"/>
      <c r="E612" s="228"/>
      <c r="F612" s="228"/>
      <c r="G612" s="71" t="str">
        <f ca="1">IFERROR(__xludf.DUMMYFUNCTION("IF(I614="""","""",FILTER(DATOS!$D$4:$D$237,DATOS!$B$4:$B$237=I614))"),"12-091")</f>
        <v>12-091</v>
      </c>
      <c r="H612" s="71" t="str">
        <f ca="1">IFERROR(__xludf.DUMMYFUNCTION("IF(I614="""","""",FILTER(DATOS!$C$4:$C$237,DATOS!$B$4:$B$237=I614))"),"BARRIOS UNIDOS")</f>
        <v>BARRIOS UNIDOS</v>
      </c>
      <c r="I612" s="31" t="s">
        <v>53</v>
      </c>
      <c r="J612" s="36" t="s">
        <v>279</v>
      </c>
      <c r="K612" s="30">
        <v>49979</v>
      </c>
      <c r="L612" s="57"/>
    </row>
    <row r="613" spans="1:12">
      <c r="A613" s="214"/>
      <c r="B613" s="228"/>
      <c r="C613" s="228"/>
      <c r="D613" s="228"/>
      <c r="E613" s="228"/>
      <c r="F613" s="228"/>
      <c r="G613" s="71" t="str">
        <f ca="1">IFERROR(__xludf.DUMMYFUNCTION("IF(I615="""","""",FILTER(DATOS!$D$4:$D$237,DATOS!$B$4:$B$237=I615))"),"07-152")</f>
        <v>07-152</v>
      </c>
      <c r="H613" s="71" t="str">
        <f ca="1">IFERROR(__xludf.DUMMYFUNCTION("IF(I615="""","""",FILTER(DATOS!$C$4:$C$237,DATOS!$B$4:$B$237=I615))"),"BOSA")</f>
        <v>BOSA</v>
      </c>
      <c r="I613" s="31" t="s">
        <v>92</v>
      </c>
      <c r="J613" s="36" t="s">
        <v>274</v>
      </c>
      <c r="K613" s="30">
        <v>1702094</v>
      </c>
      <c r="L613" s="57"/>
    </row>
    <row r="614" spans="1:12" ht="24">
      <c r="A614" s="214"/>
      <c r="B614" s="228"/>
      <c r="C614" s="228"/>
      <c r="D614" s="228"/>
      <c r="E614" s="228"/>
      <c r="F614" s="228"/>
      <c r="G614" s="71" t="str">
        <f ca="1">IFERROR(__xludf.DUMMYFUNCTION("IF(I616="""","""",FILTER(DATOS!$D$4:$D$237,DATOS!$B$4:$B$237=I616))"),"07-152")</f>
        <v>07-152</v>
      </c>
      <c r="H614" s="71" t="str">
        <f ca="1">IFERROR(__xludf.DUMMYFUNCTION("IF(I616="""","""",FILTER(DATOS!$C$4:$C$237,DATOS!$B$4:$B$237=I616))"),"BOSA")</f>
        <v>BOSA</v>
      </c>
      <c r="I614" s="31" t="s">
        <v>92</v>
      </c>
      <c r="J614" s="36" t="s">
        <v>280</v>
      </c>
      <c r="K614" s="30">
        <v>2275639</v>
      </c>
      <c r="L614" s="57"/>
    </row>
    <row r="615" spans="1:12">
      <c r="A615" s="214"/>
      <c r="B615" s="228"/>
      <c r="C615" s="228"/>
      <c r="D615" s="228"/>
      <c r="E615" s="228"/>
      <c r="F615" s="228"/>
      <c r="G615" s="71" t="str">
        <f ca="1">IFERROR(__xludf.DUMMYFUNCTION("IF(I617="""","""",FILTER(DATOS!$D$4:$D$237,DATOS!$B$4:$B$237=I617))"),"07-163")</f>
        <v>07-163</v>
      </c>
      <c r="H615" s="71" t="str">
        <f ca="1">IFERROR(__xludf.DUMMYFUNCTION("IF(I617="""","""",FILTER(DATOS!$C$4:$C$237,DATOS!$B$4:$B$237=I617))"),"BOSA")</f>
        <v>BOSA</v>
      </c>
      <c r="I615" s="31" t="s">
        <v>80</v>
      </c>
      <c r="J615" s="36" t="s">
        <v>281</v>
      </c>
      <c r="K615" s="30">
        <v>1149548</v>
      </c>
      <c r="L615" s="57"/>
    </row>
    <row r="616" spans="1:12">
      <c r="A616" s="214"/>
      <c r="B616" s="228"/>
      <c r="C616" s="228"/>
      <c r="D616" s="228"/>
      <c r="E616" s="228"/>
      <c r="F616" s="228"/>
      <c r="G616" s="71" t="str">
        <f ca="1">IFERROR(__xludf.DUMMYFUNCTION("IF(I618="""","""",FILTER(DATOS!$D$4:$D$237,DATOS!$B$4:$B$237=I618))"),"07-163")</f>
        <v>07-163</v>
      </c>
      <c r="H616" s="71" t="str">
        <f ca="1">IFERROR(__xludf.DUMMYFUNCTION("IF(I618="""","""",FILTER(DATOS!$C$4:$C$237,DATOS!$B$4:$B$237=I618))"),"BOSA")</f>
        <v>BOSA</v>
      </c>
      <c r="I616" s="31" t="s">
        <v>80</v>
      </c>
      <c r="J616" s="36" t="s">
        <v>281</v>
      </c>
      <c r="K616" s="30">
        <v>1138603</v>
      </c>
      <c r="L616" s="57"/>
    </row>
    <row r="617" spans="1:12">
      <c r="A617" s="214"/>
      <c r="B617" s="228"/>
      <c r="C617" s="228"/>
      <c r="D617" s="228"/>
      <c r="E617" s="228"/>
      <c r="F617" s="228"/>
      <c r="G617" s="71" t="str">
        <f ca="1">IFERROR(__xludf.DUMMYFUNCTION("IF(I619="""","""",FILTER(DATOS!$D$4:$D$237,DATOS!$B$4:$B$237=I619))"),"07-391")</f>
        <v>07-391</v>
      </c>
      <c r="H617" s="71" t="str">
        <f ca="1">IFERROR(__xludf.DUMMYFUNCTION("IF(I619="""","""",FILTER(DATOS!$C$4:$C$237,DATOS!$B$4:$B$237=I619))"),"BOSA")</f>
        <v>BOSA</v>
      </c>
      <c r="I617" s="31" t="s">
        <v>119</v>
      </c>
      <c r="J617" s="36" t="s">
        <v>273</v>
      </c>
      <c r="K617" s="30">
        <v>1114302</v>
      </c>
      <c r="L617" s="57"/>
    </row>
    <row r="618" spans="1:12">
      <c r="A618" s="214"/>
      <c r="B618" s="228"/>
      <c r="C618" s="228"/>
      <c r="D618" s="228"/>
      <c r="E618" s="228"/>
      <c r="F618" s="228"/>
      <c r="G618" s="71" t="str">
        <f ca="1">IFERROR(__xludf.DUMMYFUNCTION("IF(I620="""","""",FILTER(DATOS!$D$4:$D$237,DATOS!$B$4:$B$237=I620))"),"07-391")</f>
        <v>07-391</v>
      </c>
      <c r="H618" s="71" t="str">
        <f ca="1">IFERROR(__xludf.DUMMYFUNCTION("IF(I620="""","""",FILTER(DATOS!$C$4:$C$237,DATOS!$B$4:$B$237=I620))"),"BOSA")</f>
        <v>BOSA</v>
      </c>
      <c r="I618" s="31" t="s">
        <v>119</v>
      </c>
      <c r="J618" s="36" t="s">
        <v>273</v>
      </c>
      <c r="K618" s="30">
        <v>1114302</v>
      </c>
      <c r="L618" s="57"/>
    </row>
    <row r="619" spans="1:12">
      <c r="A619" s="214"/>
      <c r="B619" s="228"/>
      <c r="C619" s="228"/>
      <c r="D619" s="228"/>
      <c r="E619" s="228"/>
      <c r="F619" s="228"/>
      <c r="G619" s="71" t="str">
        <f ca="1">IFERROR(__xludf.DUMMYFUNCTION("IF(I621="""","""",FILTER(DATOS!$D$4:$D$237,DATOS!$B$4:$B$237=I621))"),"07-391")</f>
        <v>07-391</v>
      </c>
      <c r="H619" s="71" t="str">
        <f ca="1">IFERROR(__xludf.DUMMYFUNCTION("IF(I621="""","""",FILTER(DATOS!$C$4:$C$237,DATOS!$B$4:$B$237=I621))"),"BOSA")</f>
        <v>BOSA</v>
      </c>
      <c r="I619" s="31" t="s">
        <v>119</v>
      </c>
      <c r="J619" s="36" t="s">
        <v>273</v>
      </c>
      <c r="K619" s="30">
        <v>1114302</v>
      </c>
      <c r="L619" s="57"/>
    </row>
    <row r="620" spans="1:12">
      <c r="A620" s="214"/>
      <c r="B620" s="228"/>
      <c r="C620" s="228"/>
      <c r="D620" s="228"/>
      <c r="E620" s="228"/>
      <c r="F620" s="228"/>
      <c r="G620" s="71" t="str">
        <f ca="1">IFERROR(__xludf.DUMMYFUNCTION("IF(I622="""","""",FILTER(DATOS!$D$4:$D$237,DATOS!$B$4:$B$237=I622))"),"07-391")</f>
        <v>07-391</v>
      </c>
      <c r="H620" s="71" t="str">
        <f ca="1">IFERROR(__xludf.DUMMYFUNCTION("IF(I622="""","""",FILTER(DATOS!$C$4:$C$237,DATOS!$B$4:$B$237=I622))"),"BOSA")</f>
        <v>BOSA</v>
      </c>
      <c r="I620" s="31" t="s">
        <v>119</v>
      </c>
      <c r="J620" s="36" t="s">
        <v>273</v>
      </c>
      <c r="K620" s="30">
        <v>1111973</v>
      </c>
      <c r="L620" s="57"/>
    </row>
    <row r="621" spans="1:12">
      <c r="A621" s="214"/>
      <c r="B621" s="228"/>
      <c r="C621" s="228"/>
      <c r="D621" s="228"/>
      <c r="E621" s="228"/>
      <c r="F621" s="228"/>
      <c r="G621" s="71" t="str">
        <f ca="1">IFERROR(__xludf.DUMMYFUNCTION("IF(I623="""","""",FILTER(DATOS!$D$4:$D$237,DATOS!$B$4:$B$237=I623))"),"07-391")</f>
        <v>07-391</v>
      </c>
      <c r="H621" s="71" t="str">
        <f ca="1">IFERROR(__xludf.DUMMYFUNCTION("IF(I623="""","""",FILTER(DATOS!$C$4:$C$237,DATOS!$B$4:$B$237=I623))"),"BOSA")</f>
        <v>BOSA</v>
      </c>
      <c r="I621" s="31" t="s">
        <v>119</v>
      </c>
      <c r="J621" s="36" t="s">
        <v>273</v>
      </c>
      <c r="K621" s="30">
        <v>1111973</v>
      </c>
      <c r="L621" s="57"/>
    </row>
    <row r="622" spans="1:12">
      <c r="A622" s="214"/>
      <c r="B622" s="228"/>
      <c r="C622" s="228"/>
      <c r="D622" s="228"/>
      <c r="E622" s="228"/>
      <c r="F622" s="228"/>
      <c r="G622" s="71" t="str">
        <f ca="1">IFERROR(__xludf.DUMMYFUNCTION("IF(I624="""","""",FILTER(DATOS!$D$4:$D$237,DATOS!$B$4:$B$237=I624))"),"07-260")</f>
        <v>07-260</v>
      </c>
      <c r="H622" s="71" t="str">
        <f ca="1">IFERROR(__xludf.DUMMYFUNCTION("IF(I624="""","""",FILTER(DATOS!$C$4:$C$237,DATOS!$B$4:$B$237=I624))"),"BOSA")</f>
        <v>BOSA</v>
      </c>
      <c r="I622" s="31" t="s">
        <v>84</v>
      </c>
      <c r="J622" s="36" t="s">
        <v>273</v>
      </c>
      <c r="K622" s="30">
        <v>1121318</v>
      </c>
      <c r="L622" s="57"/>
    </row>
    <row r="623" spans="1:12">
      <c r="A623" s="214"/>
      <c r="B623" s="228"/>
      <c r="C623" s="228"/>
      <c r="D623" s="228"/>
      <c r="E623" s="228"/>
      <c r="F623" s="228"/>
      <c r="G623" s="71" t="str">
        <f ca="1">IFERROR(__xludf.DUMMYFUNCTION("IF(I625="""","""",FILTER(DATOS!$D$4:$D$237,DATOS!$B$4:$B$237=I625))"),"07-273")</f>
        <v>07-273</v>
      </c>
      <c r="H623" s="71" t="str">
        <f ca="1">IFERROR(__xludf.DUMMYFUNCTION("IF(I625="""","""",FILTER(DATOS!$C$4:$C$237,DATOS!$B$4:$B$237=I625))"),"BOSA")</f>
        <v>BOSA</v>
      </c>
      <c r="I623" s="31" t="s">
        <v>103</v>
      </c>
      <c r="J623" s="36" t="s">
        <v>273</v>
      </c>
      <c r="K623" s="30">
        <v>1114024</v>
      </c>
      <c r="L623" s="57"/>
    </row>
    <row r="624" spans="1:12">
      <c r="A624" s="214"/>
      <c r="B624" s="228"/>
      <c r="C624" s="228"/>
      <c r="D624" s="228"/>
      <c r="E624" s="228"/>
      <c r="F624" s="228"/>
      <c r="G624" s="71" t="str">
        <f ca="1">IFERROR(__xludf.DUMMYFUNCTION("IF(I626="""","""",FILTER(DATOS!$D$4:$D$237,DATOS!$B$4:$B$237=I626))"),"07-274")</f>
        <v>07-274</v>
      </c>
      <c r="H624" s="71" t="str">
        <f ca="1">IFERROR(__xludf.DUMMYFUNCTION("IF(I626="""","""",FILTER(DATOS!$C$4:$C$237,DATOS!$B$4:$B$237=I626))"),"BOSA")</f>
        <v>BOSA</v>
      </c>
      <c r="I624" s="31" t="s">
        <v>130</v>
      </c>
      <c r="J624" s="36" t="s">
        <v>273</v>
      </c>
      <c r="K624" s="30">
        <v>1114106</v>
      </c>
      <c r="L624" s="57"/>
    </row>
    <row r="625" spans="1:12">
      <c r="A625" s="214"/>
      <c r="B625" s="228"/>
      <c r="C625" s="228"/>
      <c r="D625" s="228"/>
      <c r="E625" s="228"/>
      <c r="F625" s="228"/>
      <c r="G625" s="71" t="str">
        <f ca="1">IFERROR(__xludf.DUMMYFUNCTION("IF(I627="""","""",FILTER(DATOS!$D$4:$D$237,DATOS!$B$4:$B$237=I627))"),"07-035")</f>
        <v>07-035</v>
      </c>
      <c r="H625" s="71" t="str">
        <f ca="1">IFERROR(__xludf.DUMMYFUNCTION("IF(I627="""","""",FILTER(DATOS!$C$4:$C$237,DATOS!$B$4:$B$237=I627))"),"BOSA")</f>
        <v>BOSA</v>
      </c>
      <c r="I625" s="31" t="s">
        <v>116</v>
      </c>
      <c r="J625" s="36" t="s">
        <v>275</v>
      </c>
      <c r="K625" s="30">
        <v>1137047</v>
      </c>
      <c r="L625" s="57"/>
    </row>
    <row r="626" spans="1:12" ht="24">
      <c r="A626" s="214"/>
      <c r="B626" s="228"/>
      <c r="C626" s="228"/>
      <c r="D626" s="228"/>
      <c r="E626" s="228"/>
      <c r="F626" s="228"/>
      <c r="G626" s="71" t="str">
        <f ca="1">IFERROR(__xludf.DUMMYFUNCTION("IF(I628="""","""",FILTER(DATOS!$D$4:$D$237,DATOS!$B$4:$B$237=I628))"),"07-164")</f>
        <v>07-164</v>
      </c>
      <c r="H626" s="71" t="str">
        <f ca="1">IFERROR(__xludf.DUMMYFUNCTION("IF(I628="""","""",FILTER(DATOS!$C$4:$C$237,DATOS!$B$4:$B$237=I628))"),"BOSA")</f>
        <v>BOSA</v>
      </c>
      <c r="I626" s="31" t="s">
        <v>85</v>
      </c>
      <c r="J626" s="36" t="s">
        <v>282</v>
      </c>
      <c r="K626" s="30">
        <v>2275639</v>
      </c>
      <c r="L626" s="57"/>
    </row>
    <row r="627" spans="1:12">
      <c r="A627" s="214"/>
      <c r="B627" s="228"/>
      <c r="C627" s="228"/>
      <c r="D627" s="228"/>
      <c r="E627" s="228"/>
      <c r="F627" s="228"/>
      <c r="G627" s="71" t="str">
        <f ca="1">IFERROR(__xludf.DUMMYFUNCTION("IF(I629="""","""",FILTER(DATOS!$D$4:$D$237,DATOS!$B$4:$B$237=I629))"),"07-164")</f>
        <v>07-164</v>
      </c>
      <c r="H627" s="71" t="str">
        <f ca="1">IFERROR(__xludf.DUMMYFUNCTION("IF(I629="""","""",FILTER(DATOS!$C$4:$C$237,DATOS!$B$4:$B$237=I629))"),"BOSA")</f>
        <v>BOSA</v>
      </c>
      <c r="I627" s="31" t="s">
        <v>85</v>
      </c>
      <c r="J627" s="36" t="s">
        <v>283</v>
      </c>
      <c r="K627" s="30">
        <v>1876284</v>
      </c>
      <c r="L627" s="57"/>
    </row>
    <row r="628" spans="1:12">
      <c r="A628" s="214"/>
      <c r="B628" s="228"/>
      <c r="C628" s="228"/>
      <c r="D628" s="228"/>
      <c r="E628" s="228"/>
      <c r="F628" s="228"/>
      <c r="G628" s="71" t="str">
        <f ca="1">IFERROR(__xludf.DUMMYFUNCTION("IF(I630="""","""",FILTER(DATOS!$D$4:$D$237,DATOS!$B$4:$B$237=I630))"),"07-036")</f>
        <v>07-036</v>
      </c>
      <c r="H628" s="71" t="str">
        <f ca="1">IFERROR(__xludf.DUMMYFUNCTION("IF(I630="""","""",FILTER(DATOS!$C$4:$C$237,DATOS!$B$4:$B$237=I630))"),"BOSA")</f>
        <v>BOSA</v>
      </c>
      <c r="I628" s="31" t="s">
        <v>131</v>
      </c>
      <c r="J628" s="36" t="s">
        <v>283</v>
      </c>
      <c r="K628" s="30">
        <v>1129176</v>
      </c>
      <c r="L628" s="57"/>
    </row>
    <row r="629" spans="1:12">
      <c r="A629" s="214"/>
      <c r="B629" s="228"/>
      <c r="C629" s="228"/>
      <c r="D629" s="228"/>
      <c r="E629" s="228"/>
      <c r="F629" s="228"/>
      <c r="G629" s="71" t="str">
        <f ca="1">IFERROR(__xludf.DUMMYFUNCTION("IF(I631="""","""",FILTER(DATOS!$D$4:$D$237,DATOS!$B$4:$B$237=I631))"),"19-756")</f>
        <v>19-756</v>
      </c>
      <c r="H629" s="71" t="str">
        <f ca="1">IFERROR(__xludf.DUMMYFUNCTION("IF(I631="""","""",FILTER(DATOS!$C$4:$C$237,DATOS!$B$4:$B$237=I631))"),"CIUDAD BOLIVAR")</f>
        <v>CIUDAD BOLIVAR</v>
      </c>
      <c r="I629" s="31" t="s">
        <v>71</v>
      </c>
      <c r="J629" s="36" t="s">
        <v>283</v>
      </c>
      <c r="K629" s="30">
        <v>1109531</v>
      </c>
      <c r="L629" s="57"/>
    </row>
    <row r="630" spans="1:12">
      <c r="A630" s="214"/>
      <c r="B630" s="228"/>
      <c r="C630" s="228"/>
      <c r="D630" s="228"/>
      <c r="E630" s="228"/>
      <c r="F630" s="228"/>
      <c r="G630" s="71" t="str">
        <f ca="1">IFERROR(__xludf.DUMMYFUNCTION("IF(I632="""","""",FILTER(DATOS!$D$4:$D$237,DATOS!$B$4:$B$237=I632))"),"19-756")</f>
        <v>19-756</v>
      </c>
      <c r="H630" s="71" t="str">
        <f ca="1">IFERROR(__xludf.DUMMYFUNCTION("IF(I632="""","""",FILTER(DATOS!$C$4:$C$237,DATOS!$B$4:$B$237=I632))"),"CIUDAD BOLIVAR")</f>
        <v>CIUDAD BOLIVAR</v>
      </c>
      <c r="I630" s="31" t="s">
        <v>71</v>
      </c>
      <c r="J630" s="36" t="s">
        <v>283</v>
      </c>
      <c r="K630" s="30">
        <v>1109531</v>
      </c>
      <c r="L630" s="57"/>
    </row>
    <row r="631" spans="1:12">
      <c r="A631" s="214"/>
      <c r="B631" s="228"/>
      <c r="C631" s="228"/>
      <c r="D631" s="228"/>
      <c r="E631" s="228"/>
      <c r="F631" s="228"/>
      <c r="G631" s="71" t="str">
        <f ca="1">IFERROR(__xludf.DUMMYFUNCTION("IF(I633="""","""",FILTER(DATOS!$D$4:$D$237,DATOS!$B$4:$B$237=I633))"),"19-188")</f>
        <v>19-188</v>
      </c>
      <c r="H631" s="71" t="str">
        <f ca="1">IFERROR(__xludf.DUMMYFUNCTION("IF(I633="""","""",FILTER(DATOS!$C$4:$C$237,DATOS!$B$4:$B$237=I633))"),"CIUDAD BOLIVAR")</f>
        <v>CIUDAD BOLIVAR</v>
      </c>
      <c r="I631" s="31" t="s">
        <v>72</v>
      </c>
      <c r="J631" s="36" t="s">
        <v>283</v>
      </c>
      <c r="K631" s="30">
        <v>1108128</v>
      </c>
      <c r="L631" s="57"/>
    </row>
    <row r="632" spans="1:12">
      <c r="A632" s="214"/>
      <c r="B632" s="228"/>
      <c r="C632" s="228"/>
      <c r="D632" s="228"/>
      <c r="E632" s="228"/>
      <c r="F632" s="228"/>
      <c r="G632" s="71" t="str">
        <f ca="1">IFERROR(__xludf.DUMMYFUNCTION("IF(I634="""","""",FILTER(DATOS!$D$4:$D$237,DATOS!$B$4:$B$237=I634))"),"19-348")</f>
        <v>19-348</v>
      </c>
      <c r="H632" s="71" t="str">
        <f ca="1">IFERROR(__xludf.DUMMYFUNCTION("IF(I634="""","""",FILTER(DATOS!$C$4:$C$237,DATOS!$B$4:$B$237=I634))"),"CIUDAD BOLIVAR")</f>
        <v>CIUDAD BOLIVAR</v>
      </c>
      <c r="I632" s="31" t="s">
        <v>128</v>
      </c>
      <c r="J632" s="36" t="s">
        <v>283</v>
      </c>
      <c r="K632" s="30">
        <v>1113811</v>
      </c>
      <c r="L632" s="57"/>
    </row>
    <row r="633" spans="1:12">
      <c r="A633" s="214"/>
      <c r="B633" s="228"/>
      <c r="C633" s="228"/>
      <c r="D633" s="228"/>
      <c r="E633" s="228"/>
      <c r="F633" s="228"/>
      <c r="G633" s="71" t="str">
        <f ca="1">IFERROR(__xludf.DUMMYFUNCTION("IF(I635="""","""",FILTER(DATOS!$D$4:$D$237,DATOS!$B$4:$B$237=I635))"),"19-231")</f>
        <v>19-231</v>
      </c>
      <c r="H633" s="71" t="str">
        <f ca="1">IFERROR(__xludf.DUMMYFUNCTION("IF(I635="""","""",FILTER(DATOS!$C$4:$C$237,DATOS!$B$4:$B$237=I635))"),"CIUDAD BOLIVAR")</f>
        <v>CIUDAD BOLIVAR</v>
      </c>
      <c r="I633" s="31" t="s">
        <v>104</v>
      </c>
      <c r="J633" s="36" t="s">
        <v>283</v>
      </c>
      <c r="K633" s="30">
        <v>1113039</v>
      </c>
      <c r="L633" s="57"/>
    </row>
    <row r="634" spans="1:12">
      <c r="A634" s="214"/>
      <c r="B634" s="228"/>
      <c r="C634" s="228"/>
      <c r="D634" s="228"/>
      <c r="E634" s="228"/>
      <c r="F634" s="228"/>
      <c r="G634" s="71" t="str">
        <f ca="1">IFERROR(__xludf.DUMMYFUNCTION("IF(I636="""","""",FILTER(DATOS!$D$4:$D$237,DATOS!$B$4:$B$237=I636))"),"19-346")</f>
        <v>19-346</v>
      </c>
      <c r="H634" s="71" t="str">
        <f ca="1">IFERROR(__xludf.DUMMYFUNCTION("IF(I636="""","""",FILTER(DATOS!$C$4:$C$237,DATOS!$B$4:$B$237=I636))"),"CIUDAD BOLIVAR")</f>
        <v>CIUDAD BOLIVAR</v>
      </c>
      <c r="I634" s="31" t="s">
        <v>99</v>
      </c>
      <c r="J634" s="36" t="s">
        <v>274</v>
      </c>
      <c r="K634" s="30">
        <v>1834435</v>
      </c>
      <c r="L634" s="57"/>
    </row>
    <row r="635" spans="1:12">
      <c r="A635" s="214"/>
      <c r="B635" s="228"/>
      <c r="C635" s="228"/>
      <c r="D635" s="228"/>
      <c r="E635" s="228"/>
      <c r="F635" s="228"/>
      <c r="G635" s="71" t="str">
        <f ca="1">IFERROR(__xludf.DUMMYFUNCTION("IF(I637="""","""",FILTER(DATOS!$D$4:$D$237,DATOS!$B$4:$B$237=I637))"),"19-346")</f>
        <v>19-346</v>
      </c>
      <c r="H635" s="71" t="str">
        <f ca="1">IFERROR(__xludf.DUMMYFUNCTION("IF(I637="""","""",FILTER(DATOS!$C$4:$C$237,DATOS!$B$4:$B$237=I637))"),"CIUDAD BOLIVAR")</f>
        <v>CIUDAD BOLIVAR</v>
      </c>
      <c r="I635" s="31" t="s">
        <v>99</v>
      </c>
      <c r="J635" s="36" t="s">
        <v>283</v>
      </c>
      <c r="K635" s="30">
        <v>1110092</v>
      </c>
      <c r="L635" s="57"/>
    </row>
    <row r="636" spans="1:12">
      <c r="A636" s="214"/>
      <c r="B636" s="228"/>
      <c r="C636" s="228"/>
      <c r="D636" s="228"/>
      <c r="E636" s="228"/>
      <c r="F636" s="228"/>
      <c r="G636" s="71" t="str">
        <f ca="1">IFERROR(__xludf.DUMMYFUNCTION("IF(I638="""","""",FILTER(DATOS!$D$4:$D$237,DATOS!$B$4:$B$237=I638))"),"19-788")</f>
        <v>19-788</v>
      </c>
      <c r="H636" s="71" t="str">
        <f ca="1">IFERROR(__xludf.DUMMYFUNCTION("IF(I638="""","""",FILTER(DATOS!$C$4:$C$237,DATOS!$B$4:$B$237=I638))"),"CIUDAD BOLIVAR")</f>
        <v>CIUDAD BOLIVAR</v>
      </c>
      <c r="I636" s="31" t="s">
        <v>139</v>
      </c>
      <c r="J636" s="36" t="s">
        <v>283</v>
      </c>
      <c r="K636" s="30">
        <v>1108988</v>
      </c>
      <c r="L636" s="57"/>
    </row>
    <row r="637" spans="1:12">
      <c r="A637" s="214"/>
      <c r="B637" s="228"/>
      <c r="C637" s="228"/>
      <c r="D637" s="228"/>
      <c r="E637" s="228"/>
      <c r="F637" s="228"/>
      <c r="G637" s="71" t="str">
        <f ca="1">IFERROR(__xludf.DUMMYFUNCTION("IF(I639="""","""",FILTER(DATOS!$D$4:$D$237,DATOS!$B$4:$B$237=I639))"),"19-349")</f>
        <v>19-349</v>
      </c>
      <c r="H637" s="71" t="str">
        <f ca="1">IFERROR(__xludf.DUMMYFUNCTION("IF(I639="""","""",FILTER(DATOS!$C$4:$C$237,DATOS!$B$4:$B$237=I639))"),"CIUDAD BOLIVAR")</f>
        <v>CIUDAD BOLIVAR</v>
      </c>
      <c r="I637" s="31" t="s">
        <v>235</v>
      </c>
      <c r="J637" s="36" t="s">
        <v>283</v>
      </c>
      <c r="K637" s="30">
        <v>1111495</v>
      </c>
      <c r="L637" s="57"/>
    </row>
    <row r="638" spans="1:12">
      <c r="A638" s="214"/>
      <c r="B638" s="228"/>
      <c r="C638" s="228"/>
      <c r="D638" s="228"/>
      <c r="E638" s="228"/>
      <c r="F638" s="228"/>
      <c r="G638" s="71" t="str">
        <f ca="1">IFERROR(__xludf.DUMMYFUNCTION("IF(I640="""","""",FILTER(DATOS!$D$4:$D$237,DATOS!$B$4:$B$237=I640))"),"19-190")</f>
        <v>19-190</v>
      </c>
      <c r="H638" s="71" t="str">
        <f ca="1">IFERROR(__xludf.DUMMYFUNCTION("IF(I640="""","""",FILTER(DATOS!$C$4:$C$237,DATOS!$B$4:$B$237=I640))"),"CIUDAD BOLIVAR")</f>
        <v>CIUDAD BOLIVAR</v>
      </c>
      <c r="I638" s="31" t="s">
        <v>127</v>
      </c>
      <c r="J638" s="36" t="s">
        <v>283</v>
      </c>
      <c r="K638" s="30">
        <v>1110092</v>
      </c>
      <c r="L638" s="57"/>
    </row>
    <row r="639" spans="1:12">
      <c r="A639" s="214"/>
      <c r="B639" s="228"/>
      <c r="C639" s="228"/>
      <c r="D639" s="228"/>
      <c r="E639" s="228"/>
      <c r="F639" s="228"/>
      <c r="G639" s="71" t="str">
        <f ca="1">IFERROR(__xludf.DUMMYFUNCTION("IF(I641="""","""",FILTER(DATOS!$D$4:$D$237,DATOS!$B$4:$B$237=I641))"),"19-190")</f>
        <v>19-190</v>
      </c>
      <c r="H639" s="71" t="str">
        <f ca="1">IFERROR(__xludf.DUMMYFUNCTION("IF(I641="""","""",FILTER(DATOS!$C$4:$C$237,DATOS!$B$4:$B$237=I641))"),"CIUDAD BOLIVAR")</f>
        <v>CIUDAD BOLIVAR</v>
      </c>
      <c r="I639" s="31" t="s">
        <v>127</v>
      </c>
      <c r="J639" s="36" t="s">
        <v>283</v>
      </c>
      <c r="K639" s="30">
        <v>1110092</v>
      </c>
      <c r="L639" s="57"/>
    </row>
    <row r="640" spans="1:12">
      <c r="A640" s="214"/>
      <c r="B640" s="228"/>
      <c r="C640" s="228"/>
      <c r="D640" s="228"/>
      <c r="E640" s="228"/>
      <c r="F640" s="228"/>
      <c r="G640" s="71" t="str">
        <f ca="1">IFERROR(__xludf.DUMMYFUNCTION("IF(I642="""","""",FILTER(DATOS!$D$4:$D$237,DATOS!$B$4:$B$237=I642))"),"10-215")</f>
        <v>10-215</v>
      </c>
      <c r="H640" s="71" t="str">
        <f ca="1">IFERROR(__xludf.DUMMYFUNCTION("IF(I642="""","""",FILTER(DATOS!$C$4:$C$237,DATOS!$B$4:$B$237=I642))"),"ENGATIVA")</f>
        <v>ENGATIVA</v>
      </c>
      <c r="I640" s="31" t="s">
        <v>22</v>
      </c>
      <c r="J640" s="36" t="s">
        <v>283</v>
      </c>
      <c r="K640" s="30">
        <v>1128086</v>
      </c>
      <c r="L640" s="57"/>
    </row>
    <row r="641" spans="1:12">
      <c r="A641" s="214"/>
      <c r="B641" s="228"/>
      <c r="C641" s="228"/>
      <c r="D641" s="228"/>
      <c r="E641" s="228"/>
      <c r="F641" s="228"/>
      <c r="G641" s="71" t="str">
        <f ca="1">IFERROR(__xludf.DUMMYFUNCTION("IF(I643="""","""",FILTER(DATOS!$D$4:$D$237,DATOS!$B$4:$B$237=I643))"),"10-169")</f>
        <v>10-169</v>
      </c>
      <c r="H641" s="71" t="str">
        <f ca="1">IFERROR(__xludf.DUMMYFUNCTION("IF(I643="""","""",FILTER(DATOS!$C$4:$C$237,DATOS!$B$4:$B$237=I643))"),"ENGATIVA")</f>
        <v>ENGATIVA</v>
      </c>
      <c r="I641" s="31" t="s">
        <v>30</v>
      </c>
      <c r="J641" s="36" t="s">
        <v>274</v>
      </c>
      <c r="K641" s="30">
        <v>2041052</v>
      </c>
      <c r="L641" s="57"/>
    </row>
    <row r="642" spans="1:12">
      <c r="A642" s="214"/>
      <c r="B642" s="228"/>
      <c r="C642" s="228"/>
      <c r="D642" s="228"/>
      <c r="E642" s="228"/>
      <c r="F642" s="228"/>
      <c r="G642" s="71" t="str">
        <f ca="1">IFERROR(__xludf.DUMMYFUNCTION("IF(I644="""","""",FILTER(DATOS!$D$4:$D$237,DATOS!$B$4:$B$237=I644))"),"10-169")</f>
        <v>10-169</v>
      </c>
      <c r="H642" s="71" t="str">
        <f ca="1">IFERROR(__xludf.DUMMYFUNCTION("IF(I644="""","""",FILTER(DATOS!$C$4:$C$237,DATOS!$B$4:$B$237=I644))"),"ENGATIVA")</f>
        <v>ENGATIVA</v>
      </c>
      <c r="I642" s="31" t="s">
        <v>30</v>
      </c>
      <c r="J642" s="36" t="s">
        <v>283</v>
      </c>
      <c r="K642" s="30">
        <v>1113909</v>
      </c>
      <c r="L642" s="57"/>
    </row>
    <row r="643" spans="1:12">
      <c r="A643" s="214"/>
      <c r="B643" s="228"/>
      <c r="C643" s="228"/>
      <c r="D643" s="228"/>
      <c r="E643" s="228"/>
      <c r="F643" s="228"/>
      <c r="G643" s="71" t="str">
        <f ca="1">IFERROR(__xludf.DUMMYFUNCTION("IF(I645="""","""",FILTER(DATOS!$D$4:$D$237,DATOS!$B$4:$B$237=I645))"),"10-171")</f>
        <v>10-171</v>
      </c>
      <c r="H643" s="71" t="str">
        <f ca="1">IFERROR(__xludf.DUMMYFUNCTION("IF(I645="""","""",FILTER(DATOS!$C$4:$C$237,DATOS!$B$4:$B$237=I645))"),"ENGATIVA")</f>
        <v>ENGATIVA</v>
      </c>
      <c r="I643" s="31" t="s">
        <v>37</v>
      </c>
      <c r="J643" s="36" t="s">
        <v>283</v>
      </c>
      <c r="K643" s="30">
        <v>1109671</v>
      </c>
      <c r="L643" s="57"/>
    </row>
    <row r="644" spans="1:12">
      <c r="A644" s="214"/>
      <c r="B644" s="228"/>
      <c r="C644" s="228"/>
      <c r="D644" s="228"/>
      <c r="E644" s="228"/>
      <c r="F644" s="228"/>
      <c r="G644" s="71" t="str">
        <f ca="1">IFERROR(__xludf.DUMMYFUNCTION("IF(I646="""","""",FILTER(DATOS!$D$4:$D$237,DATOS!$B$4:$B$237=I646))"),"10-171")</f>
        <v>10-171</v>
      </c>
      <c r="H644" s="71" t="str">
        <f ca="1">IFERROR(__xludf.DUMMYFUNCTION("IF(I646="""","""",FILTER(DATOS!$C$4:$C$237,DATOS!$B$4:$B$237=I646))"),"ENGATIVA")</f>
        <v>ENGATIVA</v>
      </c>
      <c r="I644" s="31" t="s">
        <v>37</v>
      </c>
      <c r="J644" s="36" t="s">
        <v>283</v>
      </c>
      <c r="K644" s="30">
        <v>1109671</v>
      </c>
      <c r="L644" s="57"/>
    </row>
    <row r="645" spans="1:12">
      <c r="A645" s="214"/>
      <c r="B645" s="228"/>
      <c r="C645" s="228"/>
      <c r="D645" s="228"/>
      <c r="E645" s="228"/>
      <c r="F645" s="228"/>
      <c r="G645" s="71" t="str">
        <f ca="1">IFERROR(__xludf.DUMMYFUNCTION("IF(I647="""","""",FILTER(DATOS!$D$4:$D$237,DATOS!$B$4:$B$237=I647))"),"10-171")</f>
        <v>10-171</v>
      </c>
      <c r="H645" s="71" t="str">
        <f ca="1">IFERROR(__xludf.DUMMYFUNCTION("IF(I647="""","""",FILTER(DATOS!$C$4:$C$237,DATOS!$B$4:$B$237=I647))"),"ENGATIVA")</f>
        <v>ENGATIVA</v>
      </c>
      <c r="I645" s="31" t="s">
        <v>37</v>
      </c>
      <c r="J645" s="36" t="s">
        <v>283</v>
      </c>
      <c r="K645" s="30">
        <v>1109671</v>
      </c>
      <c r="L645" s="57"/>
    </row>
    <row r="646" spans="1:12">
      <c r="A646" s="214"/>
      <c r="B646" s="228"/>
      <c r="C646" s="228"/>
      <c r="D646" s="228"/>
      <c r="E646" s="228"/>
      <c r="F646" s="228"/>
      <c r="G646" s="71" t="str">
        <f ca="1">IFERROR(__xludf.DUMMYFUNCTION("IF(I648="""","""",FILTER(DATOS!$D$4:$D$237,DATOS!$B$4:$B$237=I648))"),"10-171")</f>
        <v>10-171</v>
      </c>
      <c r="H646" s="71" t="str">
        <f ca="1">IFERROR(__xludf.DUMMYFUNCTION("IF(I648="""","""",FILTER(DATOS!$C$4:$C$237,DATOS!$B$4:$B$237=I648))"),"ENGATIVA")</f>
        <v>ENGATIVA</v>
      </c>
      <c r="I646" s="31" t="s">
        <v>37</v>
      </c>
      <c r="J646" s="36" t="s">
        <v>283</v>
      </c>
      <c r="K646" s="30">
        <v>1109671</v>
      </c>
      <c r="L646" s="57"/>
    </row>
    <row r="647" spans="1:12">
      <c r="A647" s="214"/>
      <c r="B647" s="228"/>
      <c r="C647" s="228"/>
      <c r="D647" s="228"/>
      <c r="E647" s="228"/>
      <c r="F647" s="228"/>
      <c r="G647" s="71" t="str">
        <f ca="1">IFERROR(__xludf.DUMMYFUNCTION("IF(I649="""","""",FILTER(DATOS!$D$4:$D$237,DATOS!$B$4:$B$237=I649))"),"10-171")</f>
        <v>10-171</v>
      </c>
      <c r="H647" s="71" t="str">
        <f ca="1">IFERROR(__xludf.DUMMYFUNCTION("IF(I649="""","""",FILTER(DATOS!$C$4:$C$237,DATOS!$B$4:$B$237=I649))"),"ENGATIVA")</f>
        <v>ENGATIVA</v>
      </c>
      <c r="I647" s="31" t="s">
        <v>37</v>
      </c>
      <c r="J647" s="36" t="s">
        <v>283</v>
      </c>
      <c r="K647" s="30">
        <v>1114302</v>
      </c>
      <c r="L647" s="57"/>
    </row>
    <row r="648" spans="1:12">
      <c r="A648" s="214"/>
      <c r="B648" s="228"/>
      <c r="C648" s="228"/>
      <c r="D648" s="228"/>
      <c r="E648" s="228"/>
      <c r="F648" s="228"/>
      <c r="G648" s="71" t="str">
        <f ca="1">IFERROR(__xludf.DUMMYFUNCTION("IF(I650="""","""",FILTER(DATOS!$D$4:$D$237,DATOS!$B$4:$B$237=I650))"),"10-171")</f>
        <v>10-171</v>
      </c>
      <c r="H648" s="71" t="str">
        <f ca="1">IFERROR(__xludf.DUMMYFUNCTION("IF(I650="""","""",FILTER(DATOS!$C$4:$C$237,DATOS!$B$4:$B$237=I650))"),"ENGATIVA")</f>
        <v>ENGATIVA</v>
      </c>
      <c r="I648" s="31" t="s">
        <v>37</v>
      </c>
      <c r="J648" s="36" t="s">
        <v>283</v>
      </c>
      <c r="K648" s="30">
        <v>1114302</v>
      </c>
      <c r="L648" s="57"/>
    </row>
    <row r="649" spans="1:12" ht="24">
      <c r="A649" s="214"/>
      <c r="B649" s="228"/>
      <c r="C649" s="228"/>
      <c r="D649" s="228"/>
      <c r="E649" s="228"/>
      <c r="F649" s="228"/>
      <c r="G649" s="71" t="str">
        <f ca="1">IFERROR(__xludf.DUMMYFUNCTION("IF(I651="""","""",FILTER(DATOS!$D$4:$D$237,DATOS!$B$4:$B$237=I651))"),"10-223")</f>
        <v>10-223</v>
      </c>
      <c r="H649" s="71" t="str">
        <f ca="1">IFERROR(__xludf.DUMMYFUNCTION("IF(I651="""","""",FILTER(DATOS!$C$4:$C$237,DATOS!$B$4:$B$237=I651))"),"ENGATIVA")</f>
        <v>ENGATIVA</v>
      </c>
      <c r="I649" s="89" t="s">
        <v>41</v>
      </c>
      <c r="J649" s="83" t="s">
        <v>284</v>
      </c>
      <c r="K649" s="30">
        <v>2275639</v>
      </c>
      <c r="L649" s="57"/>
    </row>
    <row r="650" spans="1:12" ht="24">
      <c r="A650" s="214"/>
      <c r="B650" s="228"/>
      <c r="C650" s="228"/>
      <c r="D650" s="228"/>
      <c r="E650" s="228"/>
      <c r="F650" s="228"/>
      <c r="G650" s="71" t="str">
        <f ca="1">IFERROR(__xludf.DUMMYFUNCTION("IF(I652="""","""",FILTER(DATOS!$D$4:$D$237,DATOS!$B$4:$B$237=I652))"),"10-171")</f>
        <v>10-171</v>
      </c>
      <c r="H650" s="71" t="str">
        <f ca="1">IFERROR(__xludf.DUMMYFUNCTION("IF(I652="""","""",FILTER(DATOS!$C$4:$C$237,DATOS!$B$4:$B$237=I652))"),"ENGATIVA")</f>
        <v>ENGATIVA</v>
      </c>
      <c r="I650" s="31" t="s">
        <v>37</v>
      </c>
      <c r="J650" s="36" t="s">
        <v>285</v>
      </c>
      <c r="K650" s="30">
        <v>5474508</v>
      </c>
      <c r="L650" s="57"/>
    </row>
    <row r="651" spans="1:12" ht="24">
      <c r="A651" s="214"/>
      <c r="B651" s="228"/>
      <c r="C651" s="228"/>
      <c r="D651" s="228"/>
      <c r="E651" s="228"/>
      <c r="F651" s="228"/>
      <c r="G651" s="71" t="str">
        <f ca="1">IFERROR(__xludf.DUMMYFUNCTION("IF(I653="""","""",FILTER(DATOS!$D$4:$D$237,DATOS!$B$4:$B$237=I653))"),"10-290")</f>
        <v>10-290</v>
      </c>
      <c r="H651" s="71" t="str">
        <f ca="1">IFERROR(__xludf.DUMMYFUNCTION("IF(I653="""","""",FILTER(DATOS!$C$4:$C$237,DATOS!$B$4:$B$237=I653))"),"ENGATIVA")</f>
        <v>ENGATIVA</v>
      </c>
      <c r="I651" s="31" t="s">
        <v>62</v>
      </c>
      <c r="J651" s="36" t="s">
        <v>286</v>
      </c>
      <c r="K651" s="30">
        <v>35854</v>
      </c>
      <c r="L651" s="57"/>
    </row>
    <row r="652" spans="1:12">
      <c r="A652" s="214"/>
      <c r="B652" s="228"/>
      <c r="C652" s="228"/>
      <c r="D652" s="228"/>
      <c r="E652" s="228"/>
      <c r="F652" s="228"/>
      <c r="G652" s="71" t="str">
        <f ca="1">IFERROR(__xludf.DUMMYFUNCTION("IF(I654="""","""",FILTER(DATOS!$D$4:$D$237,DATOS!$B$4:$B$237=I654))"),"10-531")</f>
        <v>10-531</v>
      </c>
      <c r="H652" s="71" t="str">
        <f ca="1">IFERROR(__xludf.DUMMYFUNCTION("IF(I654="""","""",FILTER(DATOS!$C$4:$C$237,DATOS!$B$4:$B$237=I654))"),"ENGATIVA")</f>
        <v>ENGATIVA</v>
      </c>
      <c r="I652" s="31" t="s">
        <v>52</v>
      </c>
      <c r="J652" s="36" t="s">
        <v>283</v>
      </c>
      <c r="K652" s="30">
        <v>1127492</v>
      </c>
      <c r="L652" s="57"/>
    </row>
    <row r="653" spans="1:12">
      <c r="A653" s="214"/>
      <c r="B653" s="228"/>
      <c r="C653" s="228"/>
      <c r="D653" s="228"/>
      <c r="E653" s="228"/>
      <c r="F653" s="228"/>
      <c r="G653" s="71" t="str">
        <f ca="1">IFERROR(__xludf.DUMMYFUNCTION("IF(I655="""","""",FILTER(DATOS!$D$4:$D$237,DATOS!$B$4:$B$237=I655))"),"10-234")</f>
        <v>10-234</v>
      </c>
      <c r="H653" s="71" t="str">
        <f ca="1">IFERROR(__xludf.DUMMYFUNCTION("IF(I655="""","""",FILTER(DATOS!$C$4:$C$237,DATOS!$B$4:$B$237=I655))"),"ENGATIVA")</f>
        <v>ENGATIVA</v>
      </c>
      <c r="I653" s="31" t="s">
        <v>56</v>
      </c>
      <c r="J653" s="36" t="s">
        <v>283</v>
      </c>
      <c r="K653" s="30">
        <v>1127071</v>
      </c>
      <c r="L653" s="57"/>
    </row>
    <row r="654" spans="1:12">
      <c r="A654" s="214"/>
      <c r="B654" s="228"/>
      <c r="C654" s="228"/>
      <c r="D654" s="228"/>
      <c r="E654" s="228"/>
      <c r="F654" s="228"/>
      <c r="G654" s="71" t="str">
        <f ca="1">IFERROR(__xludf.DUMMYFUNCTION("IF(I656="""","""",FILTER(DATOS!$D$4:$D$237,DATOS!$B$4:$B$237=I656))"),"10-234")</f>
        <v>10-234</v>
      </c>
      <c r="H654" s="71" t="str">
        <f ca="1">IFERROR(__xludf.DUMMYFUNCTION("IF(I656="""","""",FILTER(DATOS!$C$4:$C$237,DATOS!$B$4:$B$237=I656))"),"ENGATIVA")</f>
        <v>ENGATIVA</v>
      </c>
      <c r="I654" s="31" t="s">
        <v>56</v>
      </c>
      <c r="J654" s="36" t="s">
        <v>283</v>
      </c>
      <c r="K654" s="30">
        <v>1114344</v>
      </c>
      <c r="L654" s="57"/>
    </row>
    <row r="655" spans="1:12" ht="24">
      <c r="A655" s="214"/>
      <c r="B655" s="228"/>
      <c r="C655" s="228"/>
      <c r="D655" s="228"/>
      <c r="E655" s="228"/>
      <c r="F655" s="228"/>
      <c r="G655" s="71" t="str">
        <f ca="1">IFERROR(__xludf.DUMMYFUNCTION("IF(I657="""","""",FILTER(DATOS!$D$4:$D$237,DATOS!$B$4:$B$237=I657))"),"10-290")</f>
        <v>10-290</v>
      </c>
      <c r="H655" s="71" t="str">
        <f ca="1">IFERROR(__xludf.DUMMYFUNCTION("IF(I657="""","""",FILTER(DATOS!$C$4:$C$237,DATOS!$B$4:$B$237=I657))"),"ENGATIVA")</f>
        <v>ENGATIVA</v>
      </c>
      <c r="I655" s="31" t="s">
        <v>62</v>
      </c>
      <c r="J655" s="36" t="s">
        <v>274</v>
      </c>
      <c r="K655" s="30">
        <v>1744899</v>
      </c>
      <c r="L655" s="57"/>
    </row>
    <row r="656" spans="1:12">
      <c r="A656" s="214"/>
      <c r="B656" s="228"/>
      <c r="C656" s="228"/>
      <c r="D656" s="228"/>
      <c r="E656" s="228"/>
      <c r="F656" s="228"/>
      <c r="G656" s="71" t="str">
        <f ca="1">IFERROR(__xludf.DUMMYFUNCTION("IF(I658="""","""",FILTER(DATOS!$D$4:$D$237,DATOS!$B$4:$B$237=I658))"),"10-102")</f>
        <v>10-102</v>
      </c>
      <c r="H656" s="71" t="str">
        <f ca="1">IFERROR(__xludf.DUMMYFUNCTION("IF(I658="""","""",FILTER(DATOS!$C$4:$C$237,DATOS!$B$4:$B$237=I658))"),"ENGATIVA")</f>
        <v>ENGATIVA</v>
      </c>
      <c r="I656" s="31" t="s">
        <v>65</v>
      </c>
      <c r="J656" s="36" t="s">
        <v>273</v>
      </c>
      <c r="K656" s="30">
        <v>1125895</v>
      </c>
      <c r="L656" s="57"/>
    </row>
    <row r="657" spans="1:12">
      <c r="A657" s="214"/>
      <c r="B657" s="228"/>
      <c r="C657" s="228"/>
      <c r="D657" s="228"/>
      <c r="E657" s="228"/>
      <c r="F657" s="228"/>
      <c r="G657" s="71" t="str">
        <f ca="1">IFERROR(__xludf.DUMMYFUNCTION("IF(I659="""","""",FILTER(DATOS!$D$4:$D$237,DATOS!$B$4:$B$237=I659))"),"10-018")</f>
        <v>10-018</v>
      </c>
      <c r="H657" s="71" t="str">
        <f ca="1">IFERROR(__xludf.DUMMYFUNCTION("IF(I659="""","""",FILTER(DATOS!$C$4:$C$237,DATOS!$B$4:$B$237=I659))"),"ENGATIVA")</f>
        <v>ENGATIVA</v>
      </c>
      <c r="I657" s="31" t="s">
        <v>64</v>
      </c>
      <c r="J657" s="36" t="s">
        <v>283</v>
      </c>
      <c r="K657" s="30">
        <v>1124812</v>
      </c>
      <c r="L657" s="57"/>
    </row>
    <row r="658" spans="1:12">
      <c r="A658" s="214"/>
      <c r="B658" s="228"/>
      <c r="C658" s="228"/>
      <c r="D658" s="228"/>
      <c r="E658" s="228"/>
      <c r="F658" s="228"/>
      <c r="G658" s="71" t="str">
        <f ca="1">IFERROR(__xludf.DUMMYFUNCTION("IF(I660="""","""",FILTER(DATOS!$D$4:$D$237,DATOS!$B$4:$B$237=I660))"),"10-018")</f>
        <v>10-018</v>
      </c>
      <c r="H658" s="71" t="str">
        <f ca="1">IFERROR(__xludf.DUMMYFUNCTION("IF(I660="""","""",FILTER(DATOS!$C$4:$C$237,DATOS!$B$4:$B$237=I660))"),"ENGATIVA")</f>
        <v>ENGATIVA</v>
      </c>
      <c r="I658" s="31" t="s">
        <v>64</v>
      </c>
      <c r="J658" s="36" t="s">
        <v>283</v>
      </c>
      <c r="K658" s="30">
        <v>1114302</v>
      </c>
      <c r="L658" s="57"/>
    </row>
    <row r="659" spans="1:12" ht="24">
      <c r="A659" s="214"/>
      <c r="B659" s="228"/>
      <c r="C659" s="228"/>
      <c r="D659" s="228"/>
      <c r="E659" s="228"/>
      <c r="F659" s="228"/>
      <c r="G659" s="71" t="str">
        <f ca="1">IFERROR(__xludf.DUMMYFUNCTION("IF(I661="""","""",FILTER(DATOS!$D$4:$D$237,DATOS!$B$4:$B$237=I661))"),"10-311")</f>
        <v>10-311</v>
      </c>
      <c r="H659" s="71" t="str">
        <f ca="1">IFERROR(__xludf.DUMMYFUNCTION("IF(I661="""","""",FILTER(DATOS!$C$4:$C$237,DATOS!$B$4:$B$237=I661))"),"ENGATIVA")</f>
        <v>ENGATIVA</v>
      </c>
      <c r="I659" s="31" t="s">
        <v>38</v>
      </c>
      <c r="J659" s="36" t="s">
        <v>287</v>
      </c>
      <c r="K659" s="30">
        <v>2275639</v>
      </c>
      <c r="L659" s="57"/>
    </row>
    <row r="660" spans="1:12" ht="24">
      <c r="A660" s="214"/>
      <c r="B660" s="228"/>
      <c r="C660" s="228"/>
      <c r="D660" s="228"/>
      <c r="E660" s="228"/>
      <c r="F660" s="228"/>
      <c r="G660" s="71" t="str">
        <f ca="1">IFERROR(__xludf.DUMMYFUNCTION("IF(I662="""","""",FILTER(DATOS!$D$4:$D$237,DATOS!$B$4:$B$237=I662))"),"10-311")</f>
        <v>10-311</v>
      </c>
      <c r="H660" s="71" t="str">
        <f ca="1">IFERROR(__xludf.DUMMYFUNCTION("IF(I662="""","""",FILTER(DATOS!$C$4:$C$237,DATOS!$B$4:$B$237=I662))"),"ENGATIVA")</f>
        <v>ENGATIVA</v>
      </c>
      <c r="I660" s="31" t="s">
        <v>38</v>
      </c>
      <c r="J660" s="36" t="s">
        <v>288</v>
      </c>
      <c r="K660" s="30">
        <v>2275639</v>
      </c>
      <c r="L660" s="57"/>
    </row>
    <row r="661" spans="1:12" ht="24">
      <c r="A661" s="214"/>
      <c r="B661" s="228"/>
      <c r="C661" s="228"/>
      <c r="D661" s="228"/>
      <c r="E661" s="228"/>
      <c r="F661" s="228"/>
      <c r="G661" s="71" t="str">
        <f ca="1">IFERROR(__xludf.DUMMYFUNCTION("IF(I663="""","""",FILTER(DATOS!$D$4:$D$237,DATOS!$B$4:$B$237=I663))"),"10-311")</f>
        <v>10-311</v>
      </c>
      <c r="H661" s="71" t="str">
        <f ca="1">IFERROR(__xludf.DUMMYFUNCTION("IF(I663="""","""",FILTER(DATOS!$C$4:$C$237,DATOS!$B$4:$B$237=I663))"),"ENGATIVA")</f>
        <v>ENGATIVA</v>
      </c>
      <c r="I661" s="31" t="s">
        <v>38</v>
      </c>
      <c r="J661" s="36" t="s">
        <v>289</v>
      </c>
      <c r="K661" s="30">
        <v>2275639</v>
      </c>
      <c r="L661" s="57"/>
    </row>
    <row r="662" spans="1:12" ht="24">
      <c r="A662" s="214"/>
      <c r="B662" s="228"/>
      <c r="C662" s="228"/>
      <c r="D662" s="228"/>
      <c r="E662" s="228"/>
      <c r="F662" s="228"/>
      <c r="G662" s="71" t="str">
        <f ca="1">IFERROR(__xludf.DUMMYFUNCTION("IF(I664="""","""",FILTER(DATOS!$D$4:$D$237,DATOS!$B$4:$B$237=I664))"),"10-311")</f>
        <v>10-311</v>
      </c>
      <c r="H662" s="71" t="str">
        <f ca="1">IFERROR(__xludf.DUMMYFUNCTION("IF(I664="""","""",FILTER(DATOS!$C$4:$C$237,DATOS!$B$4:$B$237=I664))"),"ENGATIVA")</f>
        <v>ENGATIVA</v>
      </c>
      <c r="I662" s="31" t="s">
        <v>38</v>
      </c>
      <c r="J662" s="36" t="s">
        <v>290</v>
      </c>
      <c r="K662" s="30">
        <v>2275639</v>
      </c>
      <c r="L662" s="57"/>
    </row>
    <row r="663" spans="1:12" ht="24">
      <c r="A663" s="214"/>
      <c r="B663" s="228"/>
      <c r="C663" s="228"/>
      <c r="D663" s="228"/>
      <c r="E663" s="228"/>
      <c r="F663" s="228"/>
      <c r="G663" s="71" t="str">
        <f ca="1">IFERROR(__xludf.DUMMYFUNCTION("IF(I665="""","""",FILTER(DATOS!$D$4:$D$237,DATOS!$B$4:$B$237=I665))"),"10-290")</f>
        <v>10-290</v>
      </c>
      <c r="H663" s="71" t="str">
        <f ca="1">IFERROR(__xludf.DUMMYFUNCTION("IF(I665="""","""",FILTER(DATOS!$C$4:$C$237,DATOS!$B$4:$B$237=I665))"),"ENGATIVA")</f>
        <v>ENGATIVA</v>
      </c>
      <c r="I663" s="31" t="s">
        <v>62</v>
      </c>
      <c r="J663" s="36" t="s">
        <v>291</v>
      </c>
      <c r="K663" s="30">
        <v>3775557</v>
      </c>
      <c r="L663" s="57"/>
    </row>
    <row r="664" spans="1:12" ht="24">
      <c r="A664" s="214"/>
      <c r="B664" s="228"/>
      <c r="C664" s="228"/>
      <c r="D664" s="228"/>
      <c r="E664" s="228"/>
      <c r="F664" s="228"/>
      <c r="G664" s="71" t="str">
        <f ca="1">IFERROR(__xludf.DUMMYFUNCTION("IF(I666="""","""",FILTER(DATOS!$D$4:$D$237,DATOS!$B$4:$B$237=I666))"),"10-290")</f>
        <v>10-290</v>
      </c>
      <c r="H664" s="71" t="str">
        <f ca="1">IFERROR(__xludf.DUMMYFUNCTION("IF(I666="""","""",FILTER(DATOS!$C$4:$C$237,DATOS!$B$4:$B$237=I666))"),"ENGATIVA")</f>
        <v>ENGATIVA</v>
      </c>
      <c r="I664" s="31" t="s">
        <v>62</v>
      </c>
      <c r="J664" s="36" t="s">
        <v>292</v>
      </c>
      <c r="K664" s="30">
        <v>3018012</v>
      </c>
      <c r="L664" s="57"/>
    </row>
    <row r="665" spans="1:12" ht="24">
      <c r="A665" s="214"/>
      <c r="B665" s="228"/>
      <c r="C665" s="228"/>
      <c r="D665" s="228"/>
      <c r="E665" s="228"/>
      <c r="F665" s="228"/>
      <c r="G665" s="71" t="str">
        <f ca="1">IFERROR(__xludf.DUMMYFUNCTION("IF(I667="""","""",FILTER(DATOS!$D$4:$D$237,DATOS!$B$4:$B$237=I667))"),"10-290")</f>
        <v>10-290</v>
      </c>
      <c r="H665" s="71" t="str">
        <f ca="1">IFERROR(__xludf.DUMMYFUNCTION("IF(I667="""","""",FILTER(DATOS!$C$4:$C$237,DATOS!$B$4:$B$237=I667))"),"ENGATIVA")</f>
        <v>ENGATIVA</v>
      </c>
      <c r="I665" s="31" t="s">
        <v>62</v>
      </c>
      <c r="J665" s="36" t="s">
        <v>293</v>
      </c>
      <c r="K665" s="30">
        <v>962416</v>
      </c>
      <c r="L665" s="57"/>
    </row>
    <row r="666" spans="1:12" ht="24">
      <c r="A666" s="214"/>
      <c r="B666" s="228"/>
      <c r="C666" s="228"/>
      <c r="D666" s="228"/>
      <c r="E666" s="228"/>
      <c r="F666" s="228"/>
      <c r="G666" s="71" t="str">
        <f ca="1">IFERROR(__xludf.DUMMYFUNCTION("IF(I668="""","""",FILTER(DATOS!$D$4:$D$237,DATOS!$B$4:$B$237=I668))"),"10-290")</f>
        <v>10-290</v>
      </c>
      <c r="H666" s="71" t="str">
        <f ca="1">IFERROR(__xludf.DUMMYFUNCTION("IF(I668="""","""",FILTER(DATOS!$C$4:$C$237,DATOS!$B$4:$B$237=I668))"),"ENGATIVA")</f>
        <v>ENGATIVA</v>
      </c>
      <c r="I666" s="31" t="s">
        <v>62</v>
      </c>
      <c r="J666" s="36" t="s">
        <v>294</v>
      </c>
      <c r="K666" s="30">
        <v>962416</v>
      </c>
      <c r="L666" s="57"/>
    </row>
    <row r="667" spans="1:12">
      <c r="A667" s="214"/>
      <c r="B667" s="228"/>
      <c r="C667" s="228"/>
      <c r="D667" s="228"/>
      <c r="E667" s="228"/>
      <c r="F667" s="228"/>
      <c r="G667" s="71" t="str">
        <f ca="1">IFERROR(__xludf.DUMMYFUNCTION("IF(I669="""","""",FILTER(DATOS!$D$4:$D$237,DATOS!$B$4:$B$237=I669))"),"08-200")</f>
        <v>08-200</v>
      </c>
      <c r="H667" s="71" t="str">
        <f ca="1">IFERROR(__xludf.DUMMYFUNCTION("IF(I669="""","""",FILTER(DATOS!$C$4:$C$237,DATOS!$B$4:$B$237=I669))"),"KENNEDY")</f>
        <v>KENNEDY</v>
      </c>
      <c r="I667" s="31" t="s">
        <v>77</v>
      </c>
      <c r="J667" s="36" t="s">
        <v>295</v>
      </c>
      <c r="K667" s="30">
        <v>1129189</v>
      </c>
      <c r="L667" s="57"/>
    </row>
    <row r="668" spans="1:12">
      <c r="A668" s="214"/>
      <c r="B668" s="228"/>
      <c r="C668" s="228"/>
      <c r="D668" s="228"/>
      <c r="E668" s="228"/>
      <c r="F668" s="228"/>
      <c r="G668" s="71" t="str">
        <f ca="1">IFERROR(__xludf.DUMMYFUNCTION("IF(I670="""","""",FILTER(DATOS!$D$4:$D$237,DATOS!$B$4:$B$237=I670))"),"08-241")</f>
        <v>08-241</v>
      </c>
      <c r="H668" s="71" t="str">
        <f ca="1">IFERROR(__xludf.DUMMYFUNCTION("IF(I670="""","""",FILTER(DATOS!$C$4:$C$237,DATOS!$B$4:$B$237=I670))"),"KENNEDY")</f>
        <v>KENNEDY</v>
      </c>
      <c r="I668" s="31" t="s">
        <v>78</v>
      </c>
      <c r="J668" s="36" t="s">
        <v>296</v>
      </c>
      <c r="K668" s="30">
        <v>2150669</v>
      </c>
      <c r="L668" s="57"/>
    </row>
    <row r="669" spans="1:12">
      <c r="A669" s="214"/>
      <c r="B669" s="228"/>
      <c r="C669" s="228"/>
      <c r="D669" s="228"/>
      <c r="E669" s="228"/>
      <c r="F669" s="228"/>
      <c r="G669" s="71" t="str">
        <f ca="1">IFERROR(__xludf.DUMMYFUNCTION("IF(I671="""","""",FILTER(DATOS!$D$4:$D$237,DATOS!$B$4:$B$237=I671))"),"08-144")</f>
        <v>08-144</v>
      </c>
      <c r="H669" s="71" t="str">
        <f ca="1">IFERROR(__xludf.DUMMYFUNCTION("IF(I671="""","""",FILTER(DATOS!$C$4:$C$237,DATOS!$B$4:$B$237=I671))"),"KENNEDY")</f>
        <v>KENNEDY</v>
      </c>
      <c r="I669" s="31" t="s">
        <v>81</v>
      </c>
      <c r="J669" s="36" t="s">
        <v>283</v>
      </c>
      <c r="K669" s="30">
        <v>1119073</v>
      </c>
      <c r="L669" s="57"/>
    </row>
    <row r="670" spans="1:12">
      <c r="A670" s="214"/>
      <c r="B670" s="228"/>
      <c r="C670" s="228"/>
      <c r="D670" s="228"/>
      <c r="E670" s="228"/>
      <c r="F670" s="228"/>
      <c r="G670" s="71" t="str">
        <f ca="1">IFERROR(__xludf.DUMMYFUNCTION("IF(I672="""","""",FILTER(DATOS!$D$4:$D$237,DATOS!$B$4:$B$237=I672))"),"08-552")</f>
        <v>08-552</v>
      </c>
      <c r="H670" s="71" t="str">
        <f ca="1">IFERROR(__xludf.DUMMYFUNCTION("IF(I672="""","""",FILTER(DATOS!$C$4:$C$237,DATOS!$B$4:$B$237=I672))"),"KENNEDY")</f>
        <v>KENNEDY</v>
      </c>
      <c r="I670" s="31" t="s">
        <v>97</v>
      </c>
      <c r="J670" s="36" t="s">
        <v>283</v>
      </c>
      <c r="K670" s="30">
        <v>1124826</v>
      </c>
      <c r="L670" s="57"/>
    </row>
    <row r="671" spans="1:12">
      <c r="A671" s="214"/>
      <c r="B671" s="228"/>
      <c r="C671" s="228"/>
      <c r="D671" s="228"/>
      <c r="E671" s="228"/>
      <c r="F671" s="228"/>
      <c r="G671" s="71" t="str">
        <f ca="1">IFERROR(__xludf.DUMMYFUNCTION("IF(I673="""","""",FILTER(DATOS!$D$4:$D$237,DATOS!$B$4:$B$237=I673))"),"08-552")</f>
        <v>08-552</v>
      </c>
      <c r="H671" s="71" t="str">
        <f ca="1">IFERROR(__xludf.DUMMYFUNCTION("IF(I673="""","""",FILTER(DATOS!$C$4:$C$237,DATOS!$B$4:$B$237=I673))"),"KENNEDY")</f>
        <v>KENNEDY</v>
      </c>
      <c r="I671" s="31" t="s">
        <v>97</v>
      </c>
      <c r="J671" s="36" t="s">
        <v>283</v>
      </c>
      <c r="K671" s="30">
        <v>1114442</v>
      </c>
      <c r="L671" s="57"/>
    </row>
    <row r="672" spans="1:12">
      <c r="A672" s="214"/>
      <c r="B672" s="228"/>
      <c r="C672" s="228"/>
      <c r="D672" s="228"/>
      <c r="E672" s="228"/>
      <c r="F672" s="228"/>
      <c r="G672" s="71" t="str">
        <f ca="1">IFERROR(__xludf.DUMMYFUNCTION("IF(I674="""","""",FILTER(DATOS!$D$4:$D$237,DATOS!$B$4:$B$237=I674))"),"08-552")</f>
        <v>08-552</v>
      </c>
      <c r="H672" s="71" t="str">
        <f ca="1">IFERROR(__xludf.DUMMYFUNCTION("IF(I674="""","""",FILTER(DATOS!$C$4:$C$237,DATOS!$B$4:$B$237=I674))"),"KENNEDY")</f>
        <v>KENNEDY</v>
      </c>
      <c r="I672" s="31" t="s">
        <v>97</v>
      </c>
      <c r="J672" s="36" t="s">
        <v>283</v>
      </c>
      <c r="K672" s="30">
        <v>1111355</v>
      </c>
      <c r="L672" s="57"/>
    </row>
    <row r="673" spans="1:12">
      <c r="A673" s="214"/>
      <c r="B673" s="228"/>
      <c r="C673" s="228"/>
      <c r="D673" s="228"/>
      <c r="E673" s="228"/>
      <c r="F673" s="228"/>
      <c r="G673" s="71" t="str">
        <f ca="1">IFERROR(__xludf.DUMMYFUNCTION("IF(I675="""","""",FILTER(DATOS!$D$4:$D$237,DATOS!$B$4:$B$237=I675))"),"08-552")</f>
        <v>08-552</v>
      </c>
      <c r="H673" s="71" t="str">
        <f ca="1">IFERROR(__xludf.DUMMYFUNCTION("IF(I675="""","""",FILTER(DATOS!$C$4:$C$237,DATOS!$B$4:$B$237=I675))"),"KENNEDY")</f>
        <v>KENNEDY</v>
      </c>
      <c r="I673" s="31" t="s">
        <v>97</v>
      </c>
      <c r="J673" s="36" t="s">
        <v>283</v>
      </c>
      <c r="K673" s="30">
        <v>1111355</v>
      </c>
      <c r="L673" s="57"/>
    </row>
    <row r="674" spans="1:12">
      <c r="A674" s="214"/>
      <c r="B674" s="228"/>
      <c r="C674" s="228"/>
      <c r="D674" s="228"/>
      <c r="E674" s="228"/>
      <c r="F674" s="228"/>
      <c r="G674" s="71" t="str">
        <f ca="1">IFERROR(__xludf.DUMMYFUNCTION("IF(I676="""","""",FILTER(DATOS!$D$4:$D$237,DATOS!$B$4:$B$237=I676))"),"08-212")</f>
        <v>08-212</v>
      </c>
      <c r="H674" s="71" t="str">
        <f ca="1">IFERROR(__xludf.DUMMYFUNCTION("IF(I676="""","""",FILTER(DATOS!$C$4:$C$237,DATOS!$B$4:$B$237=I676))"),"KENNEDY")</f>
        <v>KENNEDY</v>
      </c>
      <c r="I674" s="31" t="s">
        <v>106</v>
      </c>
      <c r="J674" s="36" t="s">
        <v>283</v>
      </c>
      <c r="K674" s="30">
        <v>2228955</v>
      </c>
      <c r="L674" s="57"/>
    </row>
    <row r="675" spans="1:12" ht="24">
      <c r="A675" s="214"/>
      <c r="B675" s="228"/>
      <c r="C675" s="228"/>
      <c r="D675" s="228"/>
      <c r="E675" s="228"/>
      <c r="F675" s="228"/>
      <c r="G675" s="71" t="str">
        <f ca="1">IFERROR(__xludf.DUMMYFUNCTION("IF(I677="""","""",FILTER(DATOS!$D$4:$D$237,DATOS!$B$4:$B$237=I677))"),"08-066")</f>
        <v>08-066</v>
      </c>
      <c r="H675" s="71" t="str">
        <f ca="1">IFERROR(__xludf.DUMMYFUNCTION("IF(I677="""","""",FILTER(DATOS!$C$4:$C$237,DATOS!$B$4:$B$237=I677))"),"KENNEDY")</f>
        <v>KENNEDY</v>
      </c>
      <c r="I675" s="31" t="s">
        <v>110</v>
      </c>
      <c r="J675" s="36" t="s">
        <v>284</v>
      </c>
      <c r="K675" s="30">
        <v>1517092</v>
      </c>
      <c r="L675" s="57"/>
    </row>
    <row r="676" spans="1:12">
      <c r="A676" s="214"/>
      <c r="B676" s="228"/>
      <c r="C676" s="228"/>
      <c r="D676" s="228"/>
      <c r="E676" s="228"/>
      <c r="F676" s="228"/>
      <c r="G676" s="71" t="str">
        <f ca="1">IFERROR(__xludf.DUMMYFUNCTION("IF(I678="""","""",FILTER(DATOS!$D$4:$D$237,DATOS!$B$4:$B$237=I678))"),"08-066")</f>
        <v>08-066</v>
      </c>
      <c r="H676" s="71" t="str">
        <f ca="1">IFERROR(__xludf.DUMMYFUNCTION("IF(I678="""","""",FILTER(DATOS!$C$4:$C$237,DATOS!$B$4:$B$237=I678))"),"KENNEDY")</f>
        <v>KENNEDY</v>
      </c>
      <c r="I676" s="31" t="s">
        <v>110</v>
      </c>
      <c r="J676" s="36" t="s">
        <v>283</v>
      </c>
      <c r="K676" s="30">
        <v>1122721</v>
      </c>
      <c r="L676" s="57"/>
    </row>
    <row r="677" spans="1:12">
      <c r="A677" s="214"/>
      <c r="B677" s="228"/>
      <c r="C677" s="228"/>
      <c r="D677" s="228"/>
      <c r="E677" s="228"/>
      <c r="F677" s="228"/>
      <c r="G677" s="71" t="str">
        <f ca="1">IFERROR(__xludf.DUMMYFUNCTION("IF(I679="""","""",FILTER(DATOS!$D$4:$D$237,DATOS!$B$4:$B$237=I679))"),"08-066")</f>
        <v>08-066</v>
      </c>
      <c r="H677" s="71" t="str">
        <f ca="1">IFERROR(__xludf.DUMMYFUNCTION("IF(I679="""","""",FILTER(DATOS!$C$4:$C$237,DATOS!$B$4:$B$237=I679))"),"KENNEDY")</f>
        <v>KENNEDY</v>
      </c>
      <c r="I677" s="31" t="s">
        <v>110</v>
      </c>
      <c r="J677" s="36" t="s">
        <v>283</v>
      </c>
      <c r="K677" s="30">
        <v>1113933</v>
      </c>
      <c r="L677" s="57"/>
    </row>
    <row r="678" spans="1:12">
      <c r="A678" s="214"/>
      <c r="B678" s="228"/>
      <c r="C678" s="228"/>
      <c r="D678" s="228"/>
      <c r="E678" s="228"/>
      <c r="F678" s="228"/>
      <c r="G678" s="71" t="str">
        <f ca="1">IFERROR(__xludf.DUMMYFUNCTION("IF(I680="""","""",FILTER(DATOS!$D$4:$D$237,DATOS!$B$4:$B$237=I680))"),"08-219")</f>
        <v>08-219</v>
      </c>
      <c r="H678" s="71" t="str">
        <f ca="1">IFERROR(__xludf.DUMMYFUNCTION("IF(I680="""","""",FILTER(DATOS!$C$4:$C$237,DATOS!$B$4:$B$237=I680))"),"KENNEDY")</f>
        <v>KENNEDY</v>
      </c>
      <c r="I678" s="31" t="s">
        <v>132</v>
      </c>
      <c r="J678" s="36" t="s">
        <v>283</v>
      </c>
      <c r="K678" s="30">
        <v>1114302</v>
      </c>
      <c r="L678" s="57"/>
    </row>
    <row r="679" spans="1:12">
      <c r="A679" s="214"/>
      <c r="B679" s="228"/>
      <c r="C679" s="228"/>
      <c r="D679" s="228"/>
      <c r="E679" s="228"/>
      <c r="F679" s="228"/>
      <c r="G679" s="71" t="str">
        <f ca="1">IFERROR(__xludf.DUMMYFUNCTION("IF(I681="""","""",FILTER(DATOS!$D$4:$D$237,DATOS!$B$4:$B$237=I681))"),"08-219")</f>
        <v>08-219</v>
      </c>
      <c r="H679" s="71" t="str">
        <f ca="1">IFERROR(__xludf.DUMMYFUNCTION("IF(I681="""","""",FILTER(DATOS!$C$4:$C$237,DATOS!$B$4:$B$237=I681))"),"KENNEDY")</f>
        <v>KENNEDY</v>
      </c>
      <c r="I679" s="31" t="s">
        <v>132</v>
      </c>
      <c r="J679" s="36" t="s">
        <v>283</v>
      </c>
      <c r="K679" s="30">
        <v>1127352</v>
      </c>
      <c r="L679" s="57"/>
    </row>
    <row r="680" spans="1:12">
      <c r="A680" s="214"/>
      <c r="B680" s="228"/>
      <c r="C680" s="228"/>
      <c r="D680" s="228"/>
      <c r="E680" s="228"/>
      <c r="F680" s="228"/>
      <c r="G680" s="71" t="str">
        <f ca="1">IFERROR(__xludf.DUMMYFUNCTION("IF(I682="""","""",FILTER(DATOS!$D$4:$D$237,DATOS!$B$4:$B$237=I682))"),"14-030")</f>
        <v>14-030</v>
      </c>
      <c r="H680" s="71" t="str">
        <f ca="1">IFERROR(__xludf.DUMMYFUNCTION("IF(I682="""","""",FILTER(DATOS!$C$4:$C$237,DATOS!$B$4:$B$237=I682))"),"MARTIRES")</f>
        <v>MARTIRES</v>
      </c>
      <c r="I680" s="31" t="s">
        <v>82</v>
      </c>
      <c r="J680" s="36" t="s">
        <v>283</v>
      </c>
      <c r="K680" s="30">
        <v>1112478</v>
      </c>
      <c r="L680" s="57"/>
    </row>
    <row r="681" spans="1:12" ht="15.75" customHeight="1">
      <c r="A681" s="214"/>
      <c r="B681" s="228"/>
      <c r="C681" s="228"/>
      <c r="D681" s="228"/>
      <c r="E681" s="228"/>
      <c r="F681" s="228"/>
      <c r="G681" s="71" t="str">
        <f ca="1">IFERROR(__xludf.DUMMYFUNCTION("IF(I683="""","""",FILTER(DATOS!$D$4:$D$237,DATOS!$B$4:$B$237=I683))"),"16-024")</f>
        <v>16-024</v>
      </c>
      <c r="H681" s="71" t="str">
        <f ca="1">IFERROR(__xludf.DUMMYFUNCTION("IF(I683="""","""",FILTER(DATOS!$C$4:$C$237,DATOS!$B$4:$B$237=I683))"),"PUENTE ARANDA")</f>
        <v>PUENTE ARANDA</v>
      </c>
      <c r="I681" s="31" t="s">
        <v>91</v>
      </c>
      <c r="J681" s="36" t="s">
        <v>297</v>
      </c>
      <c r="K681" s="30">
        <v>3034185</v>
      </c>
      <c r="L681" s="57"/>
    </row>
    <row r="682" spans="1:12" ht="15.75" customHeight="1">
      <c r="A682" s="214"/>
      <c r="B682" s="228"/>
      <c r="C682" s="228"/>
      <c r="D682" s="228"/>
      <c r="E682" s="228"/>
      <c r="F682" s="228"/>
      <c r="G682" s="71" t="str">
        <f ca="1">IFERROR(__xludf.DUMMYFUNCTION("IF(I684="""","""",FILTER(DATOS!$D$4:$D$237,DATOS!$B$4:$B$237=I684))"),"16-204")</f>
        <v>16-204</v>
      </c>
      <c r="H682" s="71" t="str">
        <f ca="1">IFERROR(__xludf.DUMMYFUNCTION("IF(I684="""","""",FILTER(DATOS!$C$4:$C$237,DATOS!$B$4:$B$237=I684))"),"PUENTE ARANDA")</f>
        <v>PUENTE ARANDA</v>
      </c>
      <c r="I682" s="31" t="s">
        <v>83</v>
      </c>
      <c r="J682" s="36" t="s">
        <v>283</v>
      </c>
      <c r="K682" s="30">
        <v>1125808</v>
      </c>
      <c r="L682" s="57"/>
    </row>
    <row r="683" spans="1:12" ht="15.75" customHeight="1">
      <c r="A683" s="214"/>
      <c r="B683" s="228"/>
      <c r="C683" s="228"/>
      <c r="D683" s="228"/>
      <c r="E683" s="228"/>
      <c r="F683" s="228"/>
      <c r="G683" s="71" t="str">
        <f ca="1">IFERROR(__xludf.DUMMYFUNCTION("IF(I685="""","""",FILTER(DATOS!$D$4:$D$237,DATOS!$B$4:$B$237=I685))"),"16-099")</f>
        <v>16-099</v>
      </c>
      <c r="H683" s="71" t="str">
        <f ca="1">IFERROR(__xludf.DUMMYFUNCTION("IF(I685="""","""",FILTER(DATOS!$C$4:$C$237,DATOS!$B$4:$B$237=I685))"),"PUENTE ARANDA")</f>
        <v>PUENTE ARANDA</v>
      </c>
      <c r="I683" s="31" t="s">
        <v>112</v>
      </c>
      <c r="J683" s="36" t="s">
        <v>283</v>
      </c>
      <c r="K683" s="30">
        <v>1124402</v>
      </c>
      <c r="L683" s="57"/>
    </row>
    <row r="684" spans="1:12" ht="15.75" customHeight="1">
      <c r="A684" s="214"/>
      <c r="B684" s="228"/>
      <c r="C684" s="228"/>
      <c r="D684" s="228"/>
      <c r="E684" s="228"/>
      <c r="F684" s="228"/>
      <c r="G684" s="71" t="str">
        <f ca="1">IFERROR(__xludf.DUMMYFUNCTION("IF(I686="""","""",FILTER(DATOS!$D$4:$D$237,DATOS!$B$4:$B$237=I686))"),"16-112")</f>
        <v>16-112</v>
      </c>
      <c r="H684" s="71" t="str">
        <f ca="1">IFERROR(__xludf.DUMMYFUNCTION("IF(I686="""","""",FILTER(DATOS!$C$4:$C$237,DATOS!$B$4:$B$237=I686))"),"PUENTE ARANDA")</f>
        <v>PUENTE ARANDA</v>
      </c>
      <c r="I684" s="31" t="s">
        <v>79</v>
      </c>
      <c r="J684" s="36" t="s">
        <v>283</v>
      </c>
      <c r="K684" s="30">
        <v>1107987</v>
      </c>
      <c r="L684" s="57"/>
    </row>
    <row r="685" spans="1:12" ht="15.75" customHeight="1">
      <c r="A685" s="214"/>
      <c r="B685" s="228"/>
      <c r="C685" s="228"/>
      <c r="D685" s="228"/>
      <c r="E685" s="228"/>
      <c r="F685" s="228"/>
      <c r="G685" s="71" t="str">
        <f ca="1">IFERROR(__xludf.DUMMYFUNCTION("IF(I687="""","""",FILTER(DATOS!$D$4:$D$237,DATOS!$B$4:$B$237=I687))"),"16-112")</f>
        <v>16-112</v>
      </c>
      <c r="H685" s="71" t="str">
        <f ca="1">IFERROR(__xludf.DUMMYFUNCTION("IF(I687="""","""",FILTER(DATOS!$C$4:$C$237,DATOS!$B$4:$B$237=I687))"),"PUENTE ARANDA")</f>
        <v>PUENTE ARANDA</v>
      </c>
      <c r="I685" s="31" t="s">
        <v>79</v>
      </c>
      <c r="J685" s="36" t="s">
        <v>283</v>
      </c>
      <c r="K685" s="30">
        <v>1107987</v>
      </c>
      <c r="L685" s="57"/>
    </row>
    <row r="686" spans="1:12" ht="15.75" customHeight="1">
      <c r="A686" s="214"/>
      <c r="B686" s="228"/>
      <c r="C686" s="228"/>
      <c r="D686" s="228"/>
      <c r="E686" s="228"/>
      <c r="F686" s="228"/>
      <c r="G686" s="71" t="str">
        <f ca="1">IFERROR(__xludf.DUMMYFUNCTION("IF(I688="""","""",FILTER(DATOS!$D$4:$D$237,DATOS!$B$4:$B$237=I688))"),"16-112")</f>
        <v>16-112</v>
      </c>
      <c r="H686" s="71" t="str">
        <f ca="1">IFERROR(__xludf.DUMMYFUNCTION("IF(I688="""","""",FILTER(DATOS!$C$4:$C$237,DATOS!$B$4:$B$237=I688))"),"PUENTE ARANDA")</f>
        <v>PUENTE ARANDA</v>
      </c>
      <c r="I686" s="31" t="s">
        <v>79</v>
      </c>
      <c r="J686" s="36" t="s">
        <v>298</v>
      </c>
      <c r="K686" s="30">
        <v>1517092</v>
      </c>
      <c r="L686" s="57"/>
    </row>
    <row r="687" spans="1:12" ht="15.75" customHeight="1">
      <c r="A687" s="214"/>
      <c r="B687" s="228"/>
      <c r="C687" s="228"/>
      <c r="D687" s="228"/>
      <c r="E687" s="228"/>
      <c r="F687" s="228"/>
      <c r="G687" s="71" t="str">
        <f ca="1">IFERROR(__xludf.DUMMYFUNCTION("IF(I689="""","""",FILTER(DATOS!$D$4:$D$237,DATOS!$B$4:$B$237=I689))"),"16-112")</f>
        <v>16-112</v>
      </c>
      <c r="H687" s="71" t="str">
        <f ca="1">IFERROR(__xludf.DUMMYFUNCTION("IF(I689="""","""",FILTER(DATOS!$C$4:$C$237,DATOS!$B$4:$B$237=I689))"),"PUENTE ARANDA")</f>
        <v>PUENTE ARANDA</v>
      </c>
      <c r="I687" s="31" t="s">
        <v>79</v>
      </c>
      <c r="J687" s="36" t="s">
        <v>299</v>
      </c>
      <c r="K687" s="30">
        <v>1844500</v>
      </c>
      <c r="L687" s="57"/>
    </row>
    <row r="688" spans="1:12" ht="15.75" customHeight="1">
      <c r="A688" s="214"/>
      <c r="B688" s="228"/>
      <c r="C688" s="228"/>
      <c r="D688" s="228"/>
      <c r="E688" s="228"/>
      <c r="F688" s="228"/>
      <c r="G688" s="71" t="str">
        <f ca="1">IFERROR(__xludf.DUMMYFUNCTION("IF(I690="""","""",FILTER(DATOS!$D$4:$D$237,DATOS!$B$4:$B$237=I690))"),"16-112")</f>
        <v>16-112</v>
      </c>
      <c r="H688" s="71" t="str">
        <f ca="1">IFERROR(__xludf.DUMMYFUNCTION("IF(I690="""","""",FILTER(DATOS!$C$4:$C$237,DATOS!$B$4:$B$237=I690))"),"PUENTE ARANDA")</f>
        <v>PUENTE ARANDA</v>
      </c>
      <c r="I688" s="31" t="s">
        <v>79</v>
      </c>
      <c r="J688" s="36" t="s">
        <v>300</v>
      </c>
      <c r="K688" s="30">
        <v>37912</v>
      </c>
      <c r="L688" s="57"/>
    </row>
    <row r="689" spans="1:12" ht="15.75" customHeight="1">
      <c r="A689" s="214"/>
      <c r="B689" s="228"/>
      <c r="C689" s="228"/>
      <c r="D689" s="228"/>
      <c r="E689" s="228"/>
      <c r="F689" s="228"/>
      <c r="G689" s="71" t="str">
        <f ca="1">IFERROR(__xludf.DUMMYFUNCTION("IF(I691="""","""",FILTER(DATOS!$D$4:$D$237,DATOS!$B$4:$B$237=I691))"),"18-028")</f>
        <v>18-028</v>
      </c>
      <c r="H689" s="71" t="str">
        <f ca="1">IFERROR(__xludf.DUMMYFUNCTION("IF(I691="""","""",FILTER(DATOS!$C$4:$C$237,DATOS!$B$4:$B$237=I691))"),"RAFAEL URIBE")</f>
        <v>RAFAEL URIBE</v>
      </c>
      <c r="I689" s="31" t="s">
        <v>74</v>
      </c>
      <c r="J689" s="36" t="s">
        <v>283</v>
      </c>
      <c r="K689" s="30">
        <v>1119213</v>
      </c>
      <c r="L689" s="57"/>
    </row>
    <row r="690" spans="1:12" ht="15.75" customHeight="1">
      <c r="A690" s="214"/>
      <c r="B690" s="228"/>
      <c r="C690" s="228"/>
      <c r="D690" s="228"/>
      <c r="E690" s="228"/>
      <c r="F690" s="228"/>
      <c r="G690" s="71" t="str">
        <f ca="1">IFERROR(__xludf.DUMMYFUNCTION("IF(I692="""","""",FILTER(DATOS!$D$4:$D$237,DATOS!$B$4:$B$237=I692))"),"18-207")</f>
        <v>18-207</v>
      </c>
      <c r="H690" s="71" t="str">
        <f ca="1">IFERROR(__xludf.DUMMYFUNCTION("IF(I692="""","""",FILTER(DATOS!$C$4:$C$237,DATOS!$B$4:$B$237=I692))"),"RAFAEL URIBE")</f>
        <v>RAFAEL URIBE</v>
      </c>
      <c r="I690" s="31" t="s">
        <v>93</v>
      </c>
      <c r="J690" s="36" t="s">
        <v>283</v>
      </c>
      <c r="K690" s="30">
        <v>1127014</v>
      </c>
      <c r="L690" s="57"/>
    </row>
    <row r="691" spans="1:12" ht="15.75" customHeight="1">
      <c r="A691" s="214"/>
      <c r="B691" s="228"/>
      <c r="C691" s="228"/>
      <c r="D691" s="228"/>
      <c r="E691" s="228"/>
      <c r="F691" s="228"/>
      <c r="G691" s="71" t="str">
        <f ca="1">IFERROR(__xludf.DUMMYFUNCTION("IF(I693="""","""",FILTER(DATOS!$D$4:$D$237,DATOS!$B$4:$B$237=I693))"),"18-073")</f>
        <v>18-073</v>
      </c>
      <c r="H691" s="71" t="str">
        <f ca="1">IFERROR(__xludf.DUMMYFUNCTION("IF(I693="""","""",FILTER(DATOS!$C$4:$C$237,DATOS!$B$4:$B$237=I693))"),"RAFAEL URIBE")</f>
        <v>RAFAEL URIBE</v>
      </c>
      <c r="I691" s="31" t="s">
        <v>126</v>
      </c>
      <c r="J691" s="36" t="s">
        <v>283</v>
      </c>
      <c r="K691" s="30">
        <v>1116056</v>
      </c>
      <c r="L691" s="57"/>
    </row>
    <row r="692" spans="1:12" ht="15.75" customHeight="1">
      <c r="A692" s="214"/>
      <c r="B692" s="228"/>
      <c r="C692" s="228"/>
      <c r="D692" s="228"/>
      <c r="E692" s="228"/>
      <c r="F692" s="228"/>
      <c r="G692" s="71" t="str">
        <f ca="1">IFERROR(__xludf.DUMMYFUNCTION("IF(I694="""","""",FILTER(DATOS!$D$4:$D$237,DATOS!$B$4:$B$237=I694))"),"18-073")</f>
        <v>18-073</v>
      </c>
      <c r="H692" s="71" t="str">
        <f ca="1">IFERROR(__xludf.DUMMYFUNCTION("IF(I694="""","""",FILTER(DATOS!$C$4:$C$237,DATOS!$B$4:$B$237=I694))"),"RAFAEL URIBE")</f>
        <v>RAFAEL URIBE</v>
      </c>
      <c r="I692" s="31" t="s">
        <v>126</v>
      </c>
      <c r="J692" s="36" t="s">
        <v>283</v>
      </c>
      <c r="K692" s="30">
        <v>1118581</v>
      </c>
      <c r="L692" s="57"/>
    </row>
    <row r="693" spans="1:12" ht="15.75" customHeight="1">
      <c r="A693" s="214"/>
      <c r="B693" s="228"/>
      <c r="C693" s="228"/>
      <c r="D693" s="228"/>
      <c r="E693" s="228"/>
      <c r="F693" s="228"/>
      <c r="G693" s="71" t="str">
        <f ca="1">IFERROR(__xludf.DUMMYFUNCTION("IF(I695="""","""",FILTER(DATOS!$D$4:$D$237,DATOS!$B$4:$B$237=I695))"),"04-103")</f>
        <v>04-103</v>
      </c>
      <c r="H693" s="71" t="str">
        <f ca="1">IFERROR(__xludf.DUMMYFUNCTION("IF(I695="""","""",FILTER(DATOS!$C$4:$C$237,DATOS!$B$4:$B$237=I695))"),"SAN CRISTOBAL")</f>
        <v>SAN CRISTOBAL</v>
      </c>
      <c r="I693" s="31" t="s">
        <v>95</v>
      </c>
      <c r="J693" s="36" t="s">
        <v>296</v>
      </c>
      <c r="K693" s="30">
        <v>1820559</v>
      </c>
      <c r="L693" s="57"/>
    </row>
    <row r="694" spans="1:12" ht="15.75" customHeight="1">
      <c r="A694" s="214"/>
      <c r="B694" s="228"/>
      <c r="C694" s="228"/>
      <c r="D694" s="228"/>
      <c r="E694" s="228"/>
      <c r="F694" s="228"/>
      <c r="G694" s="71" t="str">
        <f ca="1">IFERROR(__xludf.DUMMYFUNCTION("IF(I696="""","""",FILTER(DATOS!$D$4:$D$237,DATOS!$B$4:$B$237=I696))"),"04-127")</f>
        <v>04-127</v>
      </c>
      <c r="H694" s="71" t="str">
        <f ca="1">IFERROR(__xludf.DUMMYFUNCTION("IF(I696="""","""",FILTER(DATOS!$C$4:$C$237,DATOS!$B$4:$B$237=I696))"),"SAN CRISTOBAL")</f>
        <v>SAN CRISTOBAL</v>
      </c>
      <c r="I694" s="31" t="s">
        <v>123</v>
      </c>
      <c r="J694" s="36" t="s">
        <v>301</v>
      </c>
      <c r="K694" s="30">
        <v>2275639</v>
      </c>
      <c r="L694" s="57"/>
    </row>
    <row r="695" spans="1:12" ht="15.75" customHeight="1">
      <c r="A695" s="214"/>
      <c r="B695" s="228"/>
      <c r="C695" s="228"/>
      <c r="D695" s="228"/>
      <c r="E695" s="228"/>
      <c r="F695" s="228"/>
      <c r="G695" s="71" t="str">
        <f ca="1">IFERROR(__xludf.DUMMYFUNCTION("IF(I697="""","""",FILTER(DATOS!$D$4:$D$237,DATOS!$B$4:$B$237=I697))"),"04-127")</f>
        <v>04-127</v>
      </c>
      <c r="H695" s="71" t="str">
        <f ca="1">IFERROR(__xludf.DUMMYFUNCTION("IF(I697="""","""",FILTER(DATOS!$C$4:$C$237,DATOS!$B$4:$B$237=I697))"),"SAN CRISTOBAL")</f>
        <v>SAN CRISTOBAL</v>
      </c>
      <c r="I695" s="31" t="s">
        <v>123</v>
      </c>
      <c r="J695" s="36" t="s">
        <v>283</v>
      </c>
      <c r="K695" s="30">
        <v>1125906</v>
      </c>
      <c r="L695" s="57"/>
    </row>
    <row r="696" spans="1:12" ht="15.75" customHeight="1">
      <c r="A696" s="214"/>
      <c r="B696" s="228"/>
      <c r="C696" s="228"/>
      <c r="D696" s="228"/>
      <c r="E696" s="228"/>
      <c r="F696" s="228"/>
      <c r="G696" s="71" t="str">
        <f ca="1">IFERROR(__xludf.DUMMYFUNCTION("IF(I698="""","""",FILTER(DATOS!$D$4:$D$237,DATOS!$B$4:$B$237=I698))"),"04-127")</f>
        <v>04-127</v>
      </c>
      <c r="H696" s="71" t="str">
        <f ca="1">IFERROR(__xludf.DUMMYFUNCTION("IF(I698="""","""",FILTER(DATOS!$C$4:$C$237,DATOS!$B$4:$B$237=I698))"),"SAN CRISTOBAL")</f>
        <v>SAN CRISTOBAL</v>
      </c>
      <c r="I696" s="31" t="s">
        <v>123</v>
      </c>
      <c r="J696" s="36" t="s">
        <v>283</v>
      </c>
      <c r="K696" s="30">
        <v>1123114</v>
      </c>
      <c r="L696" s="57"/>
    </row>
    <row r="697" spans="1:12" ht="15.75" customHeight="1">
      <c r="A697" s="214"/>
      <c r="B697" s="228"/>
      <c r="C697" s="228"/>
      <c r="D697" s="228"/>
      <c r="E697" s="228"/>
      <c r="F697" s="228"/>
      <c r="G697" s="71" t="str">
        <f ca="1">IFERROR(__xludf.DUMMYFUNCTION("IF(I699="""","""",FILTER(DATOS!$D$4:$D$237,DATOS!$B$4:$B$237=I699))"),"03-036")</f>
        <v>03-036</v>
      </c>
      <c r="H697" s="71" t="str">
        <f ca="1">IFERROR(__xludf.DUMMYFUNCTION("IF(I699="""","""",FILTER(DATOS!$C$4:$C$237,DATOS!$B$4:$B$237=I699))"),"SANTAFE")</f>
        <v>SANTAFE</v>
      </c>
      <c r="I697" s="31" t="s">
        <v>109</v>
      </c>
      <c r="J697" s="36" t="s">
        <v>283</v>
      </c>
      <c r="K697" s="30">
        <v>1112899</v>
      </c>
      <c r="L697" s="57"/>
    </row>
    <row r="698" spans="1:12" ht="15.75" customHeight="1">
      <c r="A698" s="214"/>
      <c r="B698" s="228"/>
      <c r="C698" s="228"/>
      <c r="D698" s="228"/>
      <c r="E698" s="228"/>
      <c r="F698" s="228"/>
      <c r="G698" s="71" t="str">
        <f ca="1">IFERROR(__xludf.DUMMYFUNCTION("IF(I700="""","""",FILTER(DATOS!$D$4:$D$237,DATOS!$B$4:$B$237=I700))"),"03-085")</f>
        <v>03-085</v>
      </c>
      <c r="H698" s="71" t="str">
        <f ca="1">IFERROR(__xludf.DUMMYFUNCTION("IF(I700="""","""",FILTER(DATOS!$C$4:$C$237,DATOS!$B$4:$B$237=I700))"),"SANTAFE")</f>
        <v>SANTAFE</v>
      </c>
      <c r="I698" s="31" t="s">
        <v>129</v>
      </c>
      <c r="J698" s="36" t="s">
        <v>283</v>
      </c>
      <c r="K698" s="30">
        <v>1110654</v>
      </c>
      <c r="L698" s="57"/>
    </row>
    <row r="699" spans="1:12" ht="15.75" customHeight="1">
      <c r="A699" s="214"/>
      <c r="B699" s="228"/>
      <c r="C699" s="228"/>
      <c r="D699" s="228"/>
      <c r="E699" s="228"/>
      <c r="F699" s="228"/>
      <c r="G699" s="71" t="str">
        <f ca="1">IFERROR(__xludf.DUMMYFUNCTION("IF(I701="""","""",FILTER(DATOS!$D$4:$D$237,DATOS!$B$4:$B$237=I701))"),"03-085")</f>
        <v>03-085</v>
      </c>
      <c r="H699" s="71" t="str">
        <f ca="1">IFERROR(__xludf.DUMMYFUNCTION("IF(I701="""","""",FILTER(DATOS!$C$4:$C$237,DATOS!$B$4:$B$237=I701))"),"SANTAFE")</f>
        <v>SANTAFE</v>
      </c>
      <c r="I699" s="31" t="s">
        <v>129</v>
      </c>
      <c r="J699" s="36" t="s">
        <v>283</v>
      </c>
      <c r="K699" s="30">
        <v>1110654</v>
      </c>
      <c r="L699" s="57"/>
    </row>
    <row r="700" spans="1:12" ht="15.75" customHeight="1">
      <c r="A700" s="214"/>
      <c r="B700" s="228"/>
      <c r="C700" s="228"/>
      <c r="D700" s="228"/>
      <c r="E700" s="228"/>
      <c r="F700" s="228"/>
      <c r="G700" s="71" t="str">
        <f ca="1">IFERROR(__xludf.DUMMYFUNCTION("IF(I702="""","""",FILTER(DATOS!$D$4:$D$237,DATOS!$B$4:$B$237=I702))"),"03-085")</f>
        <v>03-085</v>
      </c>
      <c r="H700" s="71" t="str">
        <f ca="1">IFERROR(__xludf.DUMMYFUNCTION("IF(I702="""","""",FILTER(DATOS!$C$4:$C$237,DATOS!$B$4:$B$237=I702))"),"SANTAFE")</f>
        <v>SANTAFE</v>
      </c>
      <c r="I700" s="31" t="s">
        <v>129</v>
      </c>
      <c r="J700" s="36" t="s">
        <v>283</v>
      </c>
      <c r="K700" s="30">
        <v>1126369</v>
      </c>
      <c r="L700" s="57"/>
    </row>
    <row r="701" spans="1:12" ht="15.75" customHeight="1">
      <c r="A701" s="214"/>
      <c r="B701" s="228"/>
      <c r="C701" s="228"/>
      <c r="D701" s="228"/>
      <c r="E701" s="228"/>
      <c r="F701" s="228"/>
      <c r="G701" s="71" t="str">
        <f ca="1">IFERROR(__xludf.DUMMYFUNCTION("IF(I703="""","""",FILTER(DATOS!$D$4:$D$237,DATOS!$B$4:$B$237=I703))"),"11-204")</f>
        <v>11-204</v>
      </c>
      <c r="H701" s="71" t="str">
        <f ca="1">IFERROR(__xludf.DUMMYFUNCTION("IF(I703="""","""",FILTER(DATOS!$C$4:$C$237,DATOS!$B$4:$B$237=I703))"),"SUBA")</f>
        <v>SUBA</v>
      </c>
      <c r="I701" s="31" t="s">
        <v>42</v>
      </c>
      <c r="J701" s="36" t="s">
        <v>283</v>
      </c>
      <c r="K701" s="30">
        <v>562764</v>
      </c>
      <c r="L701" s="57"/>
    </row>
    <row r="702" spans="1:12" ht="15.75" customHeight="1">
      <c r="A702" s="214"/>
      <c r="B702" s="228"/>
      <c r="C702" s="228"/>
      <c r="D702" s="228"/>
      <c r="E702" s="228"/>
      <c r="F702" s="228"/>
      <c r="G702" s="71" t="str">
        <f ca="1">IFERROR(__xludf.DUMMYFUNCTION("IF(I704="""","""",FILTER(DATOS!$D$4:$D$237,DATOS!$B$4:$B$237=I704))"),"11-205")</f>
        <v>11-205</v>
      </c>
      <c r="H702" s="71" t="str">
        <f ca="1">IFERROR(__xludf.DUMMYFUNCTION("IF(I704="""","""",FILTER(DATOS!$C$4:$C$237,DATOS!$B$4:$B$237=I704))"),"SUBA")</f>
        <v>SUBA</v>
      </c>
      <c r="I702" s="31" t="s">
        <v>39</v>
      </c>
      <c r="J702" s="36" t="s">
        <v>284</v>
      </c>
      <c r="K702" s="30">
        <v>2275639</v>
      </c>
      <c r="L702" s="57"/>
    </row>
    <row r="703" spans="1:12" ht="15.75" customHeight="1">
      <c r="A703" s="214"/>
      <c r="B703" s="228"/>
      <c r="C703" s="228"/>
      <c r="D703" s="228"/>
      <c r="E703" s="228"/>
      <c r="F703" s="228"/>
      <c r="G703" s="71" t="str">
        <f ca="1">IFERROR(__xludf.DUMMYFUNCTION("IF(I705="""","""",FILTER(DATOS!$D$4:$D$237,DATOS!$B$4:$B$237=I705))"),"11-205")</f>
        <v>11-205</v>
      </c>
      <c r="H703" s="71" t="str">
        <f ca="1">IFERROR(__xludf.DUMMYFUNCTION("IF(I705="""","""",FILTER(DATOS!$C$4:$C$237,DATOS!$B$4:$B$237=I705))"),"SUBA")</f>
        <v>SUBA</v>
      </c>
      <c r="I703" s="31" t="s">
        <v>39</v>
      </c>
      <c r="J703" s="36" t="s">
        <v>283</v>
      </c>
      <c r="K703" s="30">
        <v>1119073</v>
      </c>
      <c r="L703" s="57"/>
    </row>
    <row r="704" spans="1:12" ht="15.75" customHeight="1">
      <c r="A704" s="214"/>
      <c r="B704" s="228"/>
      <c r="C704" s="228"/>
      <c r="D704" s="228"/>
      <c r="E704" s="228"/>
      <c r="F704" s="228"/>
      <c r="G704" s="88" t="str">
        <f ca="1">IFERROR(__xludf.DUMMYFUNCTION("IF(I706="""","""",FILTER(DATOS!$D$4:$D$237,DATOS!$B$4:$B$237=I706))"),"11-1101")</f>
        <v>11-1101</v>
      </c>
      <c r="H704" s="88" t="str">
        <f ca="1">IFERROR(__xludf.DUMMYFUNCTION("IF(I706="""","""",FILTER(DATOS!$C$4:$C$237,DATOS!$B$4:$B$237=I706))"),"SUBA")</f>
        <v>SUBA</v>
      </c>
      <c r="I704" s="31" t="s">
        <v>302</v>
      </c>
      <c r="J704" s="36" t="s">
        <v>283</v>
      </c>
      <c r="K704" s="30">
        <v>1124124</v>
      </c>
      <c r="L704" s="57"/>
    </row>
    <row r="705" spans="1:12" ht="15.75" customHeight="1">
      <c r="A705" s="214"/>
      <c r="B705" s="228"/>
      <c r="C705" s="228"/>
      <c r="D705" s="228"/>
      <c r="E705" s="228"/>
      <c r="F705" s="228"/>
      <c r="G705" s="71" t="str">
        <f ca="1">IFERROR(__xludf.DUMMYFUNCTION("IF(I707="""","""",FILTER(DATOS!$D$4:$D$237,DATOS!$B$4:$B$237=I707))"),"11-069")</f>
        <v>11-069</v>
      </c>
      <c r="H705" s="71" t="str">
        <f ca="1">IFERROR(__xludf.DUMMYFUNCTION("IF(I707="""","""",FILTER(DATOS!$C$4:$C$237,DATOS!$B$4:$B$237=I707))"),"SUBA")</f>
        <v>SUBA</v>
      </c>
      <c r="I705" s="31" t="s">
        <v>26</v>
      </c>
      <c r="J705" s="36" t="s">
        <v>283</v>
      </c>
      <c r="K705" s="30">
        <v>1115845</v>
      </c>
      <c r="L705" s="57"/>
    </row>
    <row r="706" spans="1:12" ht="15.75" customHeight="1">
      <c r="A706" s="214"/>
      <c r="B706" s="228"/>
      <c r="C706" s="228"/>
      <c r="D706" s="228"/>
      <c r="E706" s="228"/>
      <c r="F706" s="228"/>
      <c r="G706" s="71" t="str">
        <f ca="1">IFERROR(__xludf.DUMMYFUNCTION("IF(I708="""","""",FILTER(DATOS!$D$4:$D$237,DATOS!$B$4:$B$237=I708))"),"11-368")</f>
        <v>11-368</v>
      </c>
      <c r="H706" s="71" t="str">
        <f ca="1">IFERROR(__xludf.DUMMYFUNCTION("IF(I708="""","""",FILTER(DATOS!$C$4:$C$237,DATOS!$B$4:$B$237=I708))"),"SUBA")</f>
        <v>SUBA</v>
      </c>
      <c r="I706" s="31" t="s">
        <v>34</v>
      </c>
      <c r="J706" s="36" t="s">
        <v>283</v>
      </c>
      <c r="K706" s="30">
        <v>1124264</v>
      </c>
      <c r="L706" s="57"/>
    </row>
    <row r="707" spans="1:12" ht="15.75" customHeight="1">
      <c r="A707" s="214"/>
      <c r="B707" s="228"/>
      <c r="C707" s="228"/>
      <c r="D707" s="228"/>
      <c r="E707" s="228"/>
      <c r="F707" s="228"/>
      <c r="G707" s="71" t="str">
        <f ca="1">IFERROR(__xludf.DUMMYFUNCTION("IF(I709="""","""",FILTER(DATOS!$D$4:$D$237,DATOS!$B$4:$B$237=I709))"),"11-368")</f>
        <v>11-368</v>
      </c>
      <c r="H707" s="71" t="str">
        <f ca="1">IFERROR(__xludf.DUMMYFUNCTION("IF(I709="""","""",FILTER(DATOS!$C$4:$C$237,DATOS!$B$4:$B$237=I709))"),"SUBA")</f>
        <v>SUBA</v>
      </c>
      <c r="I707" s="31" t="s">
        <v>34</v>
      </c>
      <c r="J707" s="36" t="s">
        <v>283</v>
      </c>
      <c r="K707" s="30">
        <v>1110092</v>
      </c>
      <c r="L707" s="57"/>
    </row>
    <row r="708" spans="1:12" ht="15.75" customHeight="1">
      <c r="A708" s="214"/>
      <c r="B708" s="228"/>
      <c r="C708" s="228"/>
      <c r="D708" s="228"/>
      <c r="E708" s="228"/>
      <c r="F708" s="228"/>
      <c r="G708" s="71" t="str">
        <f ca="1">IFERROR(__xludf.DUMMYFUNCTION("IF(I710="""","""",FILTER(DATOS!$D$4:$D$237,DATOS!$B$4:$B$237=I710))"),"11-368")</f>
        <v>11-368</v>
      </c>
      <c r="H708" s="71" t="str">
        <f ca="1">IFERROR(__xludf.DUMMYFUNCTION("IF(I710="""","""",FILTER(DATOS!$C$4:$C$237,DATOS!$B$4:$B$237=I710))"),"SUBA")</f>
        <v>SUBA</v>
      </c>
      <c r="I708" s="31" t="s">
        <v>34</v>
      </c>
      <c r="J708" s="36" t="s">
        <v>283</v>
      </c>
      <c r="K708" s="30">
        <v>1119437</v>
      </c>
      <c r="L708" s="57"/>
    </row>
    <row r="709" spans="1:12" ht="15.75" customHeight="1">
      <c r="A709" s="214"/>
      <c r="B709" s="228"/>
      <c r="C709" s="228"/>
      <c r="D709" s="228"/>
      <c r="E709" s="228"/>
      <c r="F709" s="228"/>
      <c r="G709" s="71" t="str">
        <f ca="1">IFERROR(__xludf.DUMMYFUNCTION("IF(I711="""","""",FILTER(DATOS!$D$4:$D$237,DATOS!$B$4:$B$237=I711))"),"06-063")</f>
        <v>06-063</v>
      </c>
      <c r="H709" s="71" t="str">
        <f ca="1">IFERROR(__xludf.DUMMYFUNCTION("IF(I711="""","""",FILTER(DATOS!$C$4:$C$237,DATOS!$B$4:$B$237=I711))"),"TUNJUELITO")</f>
        <v>TUNJUELITO</v>
      </c>
      <c r="I709" s="31" t="s">
        <v>87</v>
      </c>
      <c r="J709" s="36" t="s">
        <v>283</v>
      </c>
      <c r="K709" s="30">
        <v>1118189</v>
      </c>
      <c r="L709" s="57"/>
    </row>
    <row r="710" spans="1:12" ht="15.75" customHeight="1">
      <c r="A710" s="214"/>
      <c r="B710" s="228"/>
      <c r="C710" s="228"/>
      <c r="D710" s="228"/>
      <c r="E710" s="228"/>
      <c r="F710" s="228"/>
      <c r="G710" s="71" t="str">
        <f ca="1">IFERROR(__xludf.DUMMYFUNCTION("IF(I712="""","""",FILTER(DATOS!$D$4:$D$237,DATOS!$B$4:$B$237=I712))"),"06-063")</f>
        <v>06-063</v>
      </c>
      <c r="H710" s="71" t="str">
        <f ca="1">IFERROR(__xludf.DUMMYFUNCTION("IF(I712="""","""",FILTER(DATOS!$C$4:$C$237,DATOS!$B$4:$B$237=I712))"),"TUNJUELITO")</f>
        <v>TUNJUELITO</v>
      </c>
      <c r="I710" s="31" t="s">
        <v>87</v>
      </c>
      <c r="J710" s="36" t="s">
        <v>283</v>
      </c>
      <c r="K710" s="30">
        <v>1116084</v>
      </c>
      <c r="L710" s="57"/>
    </row>
    <row r="711" spans="1:12" ht="15.75" customHeight="1">
      <c r="A711" s="214"/>
      <c r="B711" s="228"/>
      <c r="C711" s="228"/>
      <c r="D711" s="228"/>
      <c r="E711" s="228"/>
      <c r="F711" s="228"/>
      <c r="G711" s="71" t="str">
        <f ca="1">IFERROR(__xludf.DUMMYFUNCTION("IF(I713="""","""",FILTER(DATOS!$D$4:$D$237,DATOS!$B$4:$B$237=I713))"),"06-063")</f>
        <v>06-063</v>
      </c>
      <c r="H711" s="71" t="str">
        <f ca="1">IFERROR(__xludf.DUMMYFUNCTION("IF(I713="""","""",FILTER(DATOS!$C$4:$C$237,DATOS!$B$4:$B$237=I713))"),"TUNJUELITO")</f>
        <v>TUNJUELITO</v>
      </c>
      <c r="I711" s="31" t="s">
        <v>87</v>
      </c>
      <c r="J711" s="36" t="s">
        <v>283</v>
      </c>
      <c r="K711" s="30">
        <v>1118189</v>
      </c>
      <c r="L711" s="57"/>
    </row>
    <row r="712" spans="1:12" ht="15.75" customHeight="1">
      <c r="A712" s="214"/>
      <c r="B712" s="228"/>
      <c r="C712" s="228"/>
      <c r="D712" s="228"/>
      <c r="E712" s="228"/>
      <c r="F712" s="228"/>
      <c r="G712" s="71" t="str">
        <f ca="1">IFERROR(__xludf.DUMMYFUNCTION("IF(I714="""","""",FILTER(DATOS!$D$4:$D$237,DATOS!$B$4:$B$237=I714))"),"06-017")</f>
        <v>06-017</v>
      </c>
      <c r="H712" s="71" t="str">
        <f ca="1">IFERROR(__xludf.DUMMYFUNCTION("IF(I714="""","""",FILTER(DATOS!$C$4:$C$237,DATOS!$B$4:$B$237=I714))"),"TUNJUELITO")</f>
        <v>TUNJUELITO</v>
      </c>
      <c r="I712" s="31" t="s">
        <v>117</v>
      </c>
      <c r="J712" s="36" t="s">
        <v>303</v>
      </c>
      <c r="K712" s="30">
        <v>2275639</v>
      </c>
      <c r="L712" s="57"/>
    </row>
    <row r="713" spans="1:12" ht="15.75" customHeight="1">
      <c r="A713" s="214"/>
      <c r="B713" s="228"/>
      <c r="C713" s="228"/>
      <c r="D713" s="228"/>
      <c r="E713" s="228"/>
      <c r="F713" s="228"/>
      <c r="G713" s="71" t="str">
        <f ca="1">IFERROR(__xludf.DUMMYFUNCTION("IF(I715="""","""",FILTER(DATOS!$D$4:$D$237,DATOS!$B$4:$B$237=I715))"),"06-017")</f>
        <v>06-017</v>
      </c>
      <c r="H713" s="71" t="str">
        <f ca="1">IFERROR(__xludf.DUMMYFUNCTION("IF(I715="""","""",FILTER(DATOS!$C$4:$C$237,DATOS!$B$4:$B$237=I715))"),"TUNJUELITO")</f>
        <v>TUNJUELITO</v>
      </c>
      <c r="I713" s="31" t="s">
        <v>117</v>
      </c>
      <c r="J713" s="36" t="s">
        <v>283</v>
      </c>
      <c r="K713" s="30">
        <v>2247934</v>
      </c>
      <c r="L713" s="57"/>
    </row>
    <row r="714" spans="1:12" ht="15.75" customHeight="1">
      <c r="A714" s="214"/>
      <c r="B714" s="228"/>
      <c r="C714" s="228"/>
      <c r="D714" s="228"/>
      <c r="E714" s="228"/>
      <c r="F714" s="228"/>
      <c r="G714" s="71" t="str">
        <f ca="1">IFERROR(__xludf.DUMMYFUNCTION("IF(I716="""","""",FILTER(DATOS!$D$4:$D$237,DATOS!$B$4:$B$237=I716))"),"06-063")</f>
        <v>06-063</v>
      </c>
      <c r="H714" s="71" t="str">
        <f ca="1">IFERROR(__xludf.DUMMYFUNCTION("IF(I716="""","""",FILTER(DATOS!$C$4:$C$237,DATOS!$B$4:$B$237=I716))"),"TUNJUELITO")</f>
        <v>TUNJUELITO</v>
      </c>
      <c r="I714" s="31" t="s">
        <v>87</v>
      </c>
      <c r="J714" s="36" t="s">
        <v>283</v>
      </c>
      <c r="K714" s="30">
        <v>1123282</v>
      </c>
      <c r="L714" s="57"/>
    </row>
    <row r="715" spans="1:12" ht="15.75" customHeight="1">
      <c r="A715" s="214"/>
      <c r="B715" s="228"/>
      <c r="C715" s="228"/>
      <c r="D715" s="228"/>
      <c r="E715" s="228"/>
      <c r="F715" s="228"/>
      <c r="G715" s="71" t="str">
        <f ca="1">IFERROR(__xludf.DUMMYFUNCTION("IF(I717="""","""",FILTER(DATOS!$D$4:$D$237,DATOS!$B$4:$B$237=I717))"),"06-063")</f>
        <v>06-063</v>
      </c>
      <c r="H715" s="71" t="str">
        <f ca="1">IFERROR(__xludf.DUMMYFUNCTION("IF(I717="""","""",FILTER(DATOS!$C$4:$C$237,DATOS!$B$4:$B$237=I717))"),"TUNJUELITO")</f>
        <v>TUNJUELITO</v>
      </c>
      <c r="I715" s="31" t="s">
        <v>87</v>
      </c>
      <c r="J715" s="36" t="s">
        <v>304</v>
      </c>
      <c r="K715" s="30">
        <v>1827886</v>
      </c>
      <c r="L715" s="57"/>
    </row>
    <row r="716" spans="1:12" ht="15.75" customHeight="1">
      <c r="A716" s="214"/>
      <c r="B716" s="228"/>
      <c r="C716" s="228"/>
      <c r="D716" s="228"/>
      <c r="E716" s="228"/>
      <c r="F716" s="228"/>
      <c r="G716" s="71" t="str">
        <f ca="1">IFERROR(__xludf.DUMMYFUNCTION("IF(I718="""","""",FILTER(DATOS!$D$4:$D$237,DATOS!$B$4:$B$237=I718))"),"06-063")</f>
        <v>06-063</v>
      </c>
      <c r="H716" s="71" t="str">
        <f ca="1">IFERROR(__xludf.DUMMYFUNCTION("IF(I718="""","""",FILTER(DATOS!$C$4:$C$237,DATOS!$B$4:$B$237=I718))"),"TUNJUELITO")</f>
        <v>TUNJUELITO</v>
      </c>
      <c r="I716" s="31" t="s">
        <v>87</v>
      </c>
      <c r="J716" s="36" t="s">
        <v>305</v>
      </c>
      <c r="K716" s="30">
        <v>3365349</v>
      </c>
      <c r="L716" s="57"/>
    </row>
    <row r="717" spans="1:12" ht="15.75" customHeight="1">
      <c r="A717" s="214"/>
      <c r="B717" s="228"/>
      <c r="C717" s="228"/>
      <c r="D717" s="228"/>
      <c r="E717" s="228"/>
      <c r="F717" s="228"/>
      <c r="G717" s="71" t="str">
        <f ca="1">IFERROR(__xludf.DUMMYFUNCTION("IF(I719="""","""",FILTER(DATOS!$D$4:$D$237,DATOS!$B$4:$B$237=I719))"),"01-023")</f>
        <v>01-023</v>
      </c>
      <c r="H717" s="71" t="str">
        <f ca="1">IFERROR(__xludf.DUMMYFUNCTION("IF(I719="""","""",FILTER(DATOS!$C$4:$C$237,DATOS!$B$4:$B$237=I719))"),"USAQUEN")</f>
        <v>USAQUEN</v>
      </c>
      <c r="I717" s="31" t="s">
        <v>58</v>
      </c>
      <c r="J717" s="36" t="s">
        <v>283</v>
      </c>
      <c r="K717" s="30">
        <v>1129456</v>
      </c>
      <c r="L717" s="57"/>
    </row>
    <row r="718" spans="1:12" ht="15.75" customHeight="1">
      <c r="A718" s="214"/>
      <c r="B718" s="228"/>
      <c r="C718" s="228"/>
      <c r="D718" s="228"/>
      <c r="E718" s="228"/>
      <c r="F718" s="228"/>
      <c r="G718" s="71" t="str">
        <f ca="1">IFERROR(__xludf.DUMMYFUNCTION("IF(I720="""","""",FILTER(DATOS!$D$4:$D$237,DATOS!$B$4:$B$237=I720))"),"01-023")</f>
        <v>01-023</v>
      </c>
      <c r="H718" s="71" t="str">
        <f ca="1">IFERROR(__xludf.DUMMYFUNCTION("IF(I720="""","""",FILTER(DATOS!$C$4:$C$237,DATOS!$B$4:$B$237=I720))"),"USAQUEN")</f>
        <v>USAQUEN</v>
      </c>
      <c r="I718" s="31" t="s">
        <v>58</v>
      </c>
      <c r="J718" s="36" t="s">
        <v>283</v>
      </c>
      <c r="K718" s="30">
        <v>1109391</v>
      </c>
      <c r="L718" s="57"/>
    </row>
    <row r="719" spans="1:12" ht="15.75" customHeight="1">
      <c r="A719" s="214"/>
      <c r="B719" s="228"/>
      <c r="C719" s="228"/>
      <c r="D719" s="228"/>
      <c r="E719" s="228"/>
      <c r="F719" s="228"/>
      <c r="G719" s="71" t="str">
        <f ca="1">IFERROR(__xludf.DUMMYFUNCTION("IF(I721="""","""",FILTER(DATOS!$D$4:$D$237,DATOS!$B$4:$B$237=I721))"),"05-002")</f>
        <v>05-002</v>
      </c>
      <c r="H719" s="71" t="str">
        <f ca="1">IFERROR(__xludf.DUMMYFUNCTION("IF(I721="""","""",FILTER(DATOS!$C$4:$C$237,DATOS!$B$4:$B$237=I721))"),"USME")</f>
        <v>USME</v>
      </c>
      <c r="I719" s="31" t="s">
        <v>102</v>
      </c>
      <c r="J719" s="36" t="s">
        <v>306</v>
      </c>
      <c r="K719" s="30">
        <v>2208294</v>
      </c>
      <c r="L719" s="57"/>
    </row>
    <row r="720" spans="1:12" ht="15.75" customHeight="1">
      <c r="A720" s="214"/>
      <c r="B720" s="228"/>
      <c r="C720" s="228"/>
      <c r="D720" s="228"/>
      <c r="E720" s="228"/>
      <c r="F720" s="228"/>
      <c r="G720" s="71" t="str">
        <f ca="1">IFERROR(__xludf.DUMMYFUNCTION("IF(I722="""","""",FILTER(DATOS!$D$4:$D$237,DATOS!$B$4:$B$237=I722))"),"10-311")</f>
        <v>10-311</v>
      </c>
      <c r="H720" s="71" t="str">
        <f ca="1">IFERROR(__xludf.DUMMYFUNCTION("IF(I722="""","""",FILTER(DATOS!$C$4:$C$237,DATOS!$B$4:$B$237=I722))"),"ENGATIVA")</f>
        <v>ENGATIVA</v>
      </c>
      <c r="I720" s="31" t="s">
        <v>38</v>
      </c>
      <c r="J720" s="36" t="s">
        <v>307</v>
      </c>
      <c r="K720" s="30">
        <v>1517092</v>
      </c>
      <c r="L720" s="57"/>
    </row>
    <row r="721" spans="1:12" ht="15.75" customHeight="1">
      <c r="A721" s="214"/>
      <c r="B721" s="228"/>
      <c r="C721" s="228"/>
      <c r="D721" s="228"/>
      <c r="E721" s="228"/>
      <c r="F721" s="228"/>
      <c r="G721" s="71" t="str">
        <f ca="1">IFERROR(__xludf.DUMMYFUNCTION("IF(I723="""","""",FILTER(DATOS!$D$4:$D$237,DATOS!$B$4:$B$237=I723))"),"10-311")</f>
        <v>10-311</v>
      </c>
      <c r="H721" s="71" t="str">
        <f ca="1">IFERROR(__xludf.DUMMYFUNCTION("IF(I723="""","""",FILTER(DATOS!$C$4:$C$237,DATOS!$B$4:$B$237=I723))"),"ENGATIVA")</f>
        <v>ENGATIVA</v>
      </c>
      <c r="I721" s="31" t="s">
        <v>38</v>
      </c>
      <c r="J721" s="36" t="s">
        <v>308</v>
      </c>
      <c r="K721" s="30">
        <v>1517092</v>
      </c>
      <c r="L721" s="57"/>
    </row>
    <row r="722" spans="1:12" ht="15.75" customHeight="1">
      <c r="A722" s="214"/>
      <c r="B722" s="228"/>
      <c r="C722" s="228"/>
      <c r="D722" s="228"/>
      <c r="E722" s="228"/>
      <c r="F722" s="228"/>
      <c r="G722" s="71" t="str">
        <f ca="1">IFERROR(__xludf.DUMMYFUNCTION("IF(I724="""","""",FILTER(DATOS!$D$4:$D$237,DATOS!$B$4:$B$237=I724))"),"10-311")</f>
        <v>10-311</v>
      </c>
      <c r="H722" s="71" t="str">
        <f ca="1">IFERROR(__xludf.DUMMYFUNCTION("IF(I724="""","""",FILTER(DATOS!$C$4:$C$237,DATOS!$B$4:$B$237=I724))"),"ENGATIVA")</f>
        <v>ENGATIVA</v>
      </c>
      <c r="I722" s="31" t="s">
        <v>38</v>
      </c>
      <c r="J722" s="36" t="s">
        <v>309</v>
      </c>
      <c r="K722" s="30">
        <v>1517092</v>
      </c>
      <c r="L722" s="57"/>
    </row>
    <row r="723" spans="1:12" ht="15.75" customHeight="1">
      <c r="A723" s="214"/>
      <c r="B723" s="228"/>
      <c r="C723" s="228"/>
      <c r="D723" s="228"/>
      <c r="E723" s="228"/>
      <c r="F723" s="228"/>
      <c r="G723" s="71" t="str">
        <f ca="1">IFERROR(__xludf.DUMMYFUNCTION("IF(I725="""","""",FILTER(DATOS!$D$4:$D$237,DATOS!$B$4:$B$237=I725))"),"10-311")</f>
        <v>10-311</v>
      </c>
      <c r="H723" s="71" t="str">
        <f ca="1">IFERROR(__xludf.DUMMYFUNCTION("IF(I725="""","""",FILTER(DATOS!$C$4:$C$237,DATOS!$B$4:$B$237=I725))"),"ENGATIVA")</f>
        <v>ENGATIVA</v>
      </c>
      <c r="I723" s="31" t="s">
        <v>38</v>
      </c>
      <c r="J723" s="36" t="s">
        <v>310</v>
      </c>
      <c r="K723" s="30">
        <v>1517092</v>
      </c>
      <c r="L723" s="57"/>
    </row>
    <row r="724" spans="1:12" ht="15.75" customHeight="1">
      <c r="A724" s="214"/>
      <c r="B724" s="228"/>
      <c r="C724" s="228"/>
      <c r="D724" s="228"/>
      <c r="E724" s="228"/>
      <c r="F724" s="228"/>
      <c r="G724" s="71" t="str">
        <f ca="1">IFERROR(__xludf.DUMMYFUNCTION("IF(I726="""","""",FILTER(DATOS!$D$4:$D$237,DATOS!$B$4:$B$237=I726))"),"10-311")</f>
        <v>10-311</v>
      </c>
      <c r="H724" s="71" t="str">
        <f ca="1">IFERROR(__xludf.DUMMYFUNCTION("IF(I726="""","""",FILTER(DATOS!$C$4:$C$237,DATOS!$B$4:$B$237=I726))"),"ENGATIVA")</f>
        <v>ENGATIVA</v>
      </c>
      <c r="I724" s="31" t="s">
        <v>38</v>
      </c>
      <c r="J724" s="36" t="s">
        <v>311</v>
      </c>
      <c r="K724" s="30">
        <v>1517092</v>
      </c>
      <c r="L724" s="57"/>
    </row>
    <row r="725" spans="1:12" ht="15.75" customHeight="1">
      <c r="A725" s="214"/>
      <c r="B725" s="228"/>
      <c r="C725" s="228"/>
      <c r="D725" s="228"/>
      <c r="E725" s="228"/>
      <c r="F725" s="228"/>
      <c r="G725" s="71" t="str">
        <f ca="1">IFERROR(__xludf.DUMMYFUNCTION("IF(I727="""","""",FILTER(DATOS!$D$4:$D$237,DATOS!$B$4:$B$237=I727))"),"10-311")</f>
        <v>10-311</v>
      </c>
      <c r="H725" s="71" t="str">
        <f ca="1">IFERROR(__xludf.DUMMYFUNCTION("IF(I727="""","""",FILTER(DATOS!$C$4:$C$237,DATOS!$B$4:$B$237=I727))"),"ENGATIVA")</f>
        <v>ENGATIVA</v>
      </c>
      <c r="I725" s="31" t="s">
        <v>38</v>
      </c>
      <c r="J725" s="36" t="s">
        <v>312</v>
      </c>
      <c r="K725" s="30">
        <v>1517092</v>
      </c>
      <c r="L725" s="57"/>
    </row>
    <row r="726" spans="1:12" ht="15.75" customHeight="1">
      <c r="A726" s="214"/>
      <c r="B726" s="228"/>
      <c r="C726" s="228"/>
      <c r="D726" s="228"/>
      <c r="E726" s="228"/>
      <c r="F726" s="228"/>
      <c r="G726" s="71" t="str">
        <f ca="1">IFERROR(__xludf.DUMMYFUNCTION("IF(I728="""","""",FILTER(DATOS!$D$4:$D$237,DATOS!$B$4:$B$237=I728))"),"05-003")</f>
        <v>05-003</v>
      </c>
      <c r="H726" s="71" t="str">
        <f ca="1">IFERROR(__xludf.DUMMYFUNCTION("IF(I728="""","""",FILTER(DATOS!$C$4:$C$237,DATOS!$B$4:$B$237=I728))"),"USME")</f>
        <v>USME</v>
      </c>
      <c r="I726" s="31" t="s">
        <v>133</v>
      </c>
      <c r="J726" s="36" t="s">
        <v>283</v>
      </c>
      <c r="K726" s="30">
        <v>1112478</v>
      </c>
      <c r="L726" s="57"/>
    </row>
    <row r="727" spans="1:12" ht="15.75" customHeight="1">
      <c r="A727" s="214"/>
      <c r="B727" s="228"/>
      <c r="C727" s="228"/>
      <c r="D727" s="228"/>
      <c r="E727" s="228"/>
      <c r="F727" s="228"/>
      <c r="G727" s="71" t="str">
        <f ca="1">IFERROR(__xludf.DUMMYFUNCTION("IF(I729="""","""",FILTER(DATOS!$D$4:$D$237,DATOS!$B$4:$B$237=I729))"),"05-087")</f>
        <v>05-087</v>
      </c>
      <c r="H727" s="71" t="str">
        <f ca="1">IFERROR(__xludf.DUMMYFUNCTION("IF(I729="""","""",FILTER(DATOS!$C$4:$C$237,DATOS!$B$4:$B$237=I729))"),"USME")</f>
        <v>USME</v>
      </c>
      <c r="I727" s="31" t="s">
        <v>135</v>
      </c>
      <c r="J727" s="36" t="s">
        <v>283</v>
      </c>
      <c r="K727" s="30">
        <v>1110513</v>
      </c>
      <c r="L727" s="57"/>
    </row>
    <row r="728" spans="1:12" ht="15.75" customHeight="1">
      <c r="A728" s="214"/>
      <c r="B728" s="228"/>
      <c r="C728" s="228"/>
      <c r="D728" s="228"/>
      <c r="E728" s="228"/>
      <c r="F728" s="228"/>
      <c r="G728" s="71" t="str">
        <f ca="1">IFERROR(__xludf.DUMMYFUNCTION("IF(I730="""","""",FILTER(DATOS!$D$4:$D$237,DATOS!$B$4:$B$237=I730))"),"10-311")</f>
        <v>10-311</v>
      </c>
      <c r="H728" s="71" t="str">
        <f ca="1">IFERROR(__xludf.DUMMYFUNCTION("IF(I730="""","""",FILTER(DATOS!$C$4:$C$237,DATOS!$B$4:$B$237=I730))"),"ENGATIVA")</f>
        <v>ENGATIVA</v>
      </c>
      <c r="I728" s="31" t="s">
        <v>38</v>
      </c>
      <c r="J728" s="36" t="s">
        <v>313</v>
      </c>
      <c r="K728" s="30">
        <v>1517092</v>
      </c>
      <c r="L728" s="57"/>
    </row>
    <row r="729" spans="1:12" ht="15.75" customHeight="1">
      <c r="A729" s="214"/>
      <c r="B729" s="228"/>
      <c r="C729" s="228"/>
      <c r="D729" s="228"/>
      <c r="E729" s="228"/>
      <c r="F729" s="228"/>
      <c r="G729" s="88" t="str">
        <f ca="1">IFERROR(__xludf.DUMMYFUNCTION("IF(I731="""","""",FILTER(DATOS!$D$4:$D$237,DATOS!$B$4:$B$237=I731))"),"01-1000")</f>
        <v>01-1000</v>
      </c>
      <c r="H729" s="88" t="str">
        <f ca="1">IFERROR(__xludf.DUMMYFUNCTION("IF(I731="""","""",FILTER(DATOS!$C$4:$C$237,DATOS!$B$4:$B$237=I731))"),"USAQUEN")</f>
        <v>USAQUEN</v>
      </c>
      <c r="I729" s="90" t="s">
        <v>29</v>
      </c>
      <c r="J729" s="36" t="s">
        <v>314</v>
      </c>
      <c r="K729" s="30">
        <v>2379917</v>
      </c>
      <c r="L729" s="57"/>
    </row>
    <row r="730" spans="1:12" ht="15.75" customHeight="1">
      <c r="A730" s="214"/>
      <c r="B730" s="228"/>
      <c r="C730" s="228"/>
      <c r="D730" s="228"/>
      <c r="E730" s="228"/>
      <c r="F730" s="228"/>
      <c r="G730" s="71" t="str">
        <f ca="1">IFERROR(__xludf.DUMMYFUNCTION("IF(I732="""","""",FILTER(DATOS!$D$4:$D$237,DATOS!$B$4:$B$237=I732))"),"03-035")</f>
        <v>03-035</v>
      </c>
      <c r="H730" s="71" t="str">
        <f ca="1">IFERROR(__xludf.DUMMYFUNCTION("IF(I732="""","""",FILTER(DATOS!$C$4:$C$237,DATOS!$B$4:$B$237=I732))"),"SANTAFE")</f>
        <v>SANTAFE</v>
      </c>
      <c r="I730" s="90" t="s">
        <v>46</v>
      </c>
      <c r="J730" s="36" t="s">
        <v>284</v>
      </c>
      <c r="K730" s="30">
        <v>2275639</v>
      </c>
      <c r="L730" s="57"/>
    </row>
    <row r="731" spans="1:12" ht="15.75" customHeight="1">
      <c r="A731" s="214"/>
      <c r="B731" s="228"/>
      <c r="C731" s="228"/>
      <c r="D731" s="228"/>
      <c r="E731" s="228"/>
      <c r="F731" s="228"/>
      <c r="G731" s="71" t="str">
        <f ca="1">IFERROR(__xludf.DUMMYFUNCTION("IF(I733="""","""",FILTER(DATOS!$D$4:$D$237,DATOS!$B$4:$B$237=I733))"),"16-099")</f>
        <v>16-099</v>
      </c>
      <c r="H731" s="71" t="str">
        <f ca="1">IFERROR(__xludf.DUMMYFUNCTION("IF(I733="""","""",FILTER(DATOS!$C$4:$C$237,DATOS!$B$4:$B$237=I733))"),"PUENTE ARANDA")</f>
        <v>PUENTE ARANDA</v>
      </c>
      <c r="I731" s="90" t="s">
        <v>112</v>
      </c>
      <c r="J731" s="36" t="s">
        <v>284</v>
      </c>
      <c r="K731" s="30">
        <v>758546</v>
      </c>
      <c r="L731" s="57"/>
    </row>
    <row r="732" spans="1:12" ht="15.75" customHeight="1" thickBot="1">
      <c r="A732" s="186"/>
      <c r="B732" s="229"/>
      <c r="C732" s="229"/>
      <c r="D732" s="229"/>
      <c r="E732" s="229"/>
      <c r="F732" s="229"/>
      <c r="G732" s="91"/>
      <c r="H732" s="91"/>
      <c r="I732" s="92"/>
      <c r="J732" s="79"/>
      <c r="K732" s="46">
        <v>0</v>
      </c>
      <c r="L732" s="57"/>
    </row>
    <row r="733" spans="1:12" ht="15.75" customHeight="1">
      <c r="A733" s="226" t="s">
        <v>315</v>
      </c>
      <c r="B733" s="227" t="s">
        <v>316</v>
      </c>
      <c r="C733" s="227" t="s">
        <v>317</v>
      </c>
      <c r="D733" s="230">
        <v>45205</v>
      </c>
      <c r="E733" s="230">
        <v>45478</v>
      </c>
      <c r="F733" s="231">
        <v>1</v>
      </c>
      <c r="G733" s="71" t="str">
        <f ca="1">IFERROR(__xludf.DUMMYFUNCTION("IF(I737="""","""",FILTER(DATOS!$D$4:$D$237,DATOS!$B$4:$B$237=I737))"),"15-040")</f>
        <v>15-040</v>
      </c>
      <c r="H733" s="71" t="str">
        <f ca="1">IFERROR(__xludf.DUMMYFUNCTION("IF(I737="""","""",FILTER(DATOS!$C$4:$C$237,DATOS!$B$4:$B$237=I737))"),"ANTONIO NARIÑO")</f>
        <v>ANTONIO NARIÑO</v>
      </c>
      <c r="I733" s="35" t="s">
        <v>105</v>
      </c>
      <c r="J733" s="36" t="s">
        <v>318</v>
      </c>
      <c r="K733" s="30">
        <v>5138790.2700000005</v>
      </c>
      <c r="L733" s="57">
        <v>2339800000</v>
      </c>
    </row>
    <row r="734" spans="1:12" ht="15.75" customHeight="1">
      <c r="A734" s="214"/>
      <c r="B734" s="228"/>
      <c r="C734" s="228"/>
      <c r="D734" s="228"/>
      <c r="E734" s="228"/>
      <c r="F734" s="228"/>
      <c r="G734" s="71" t="str">
        <f ca="1">IFERROR(__xludf.DUMMYFUNCTION("IF(I739="""","""",FILTER(DATOS!$D$4:$D$237,DATOS!$B$4:$B$237=I739))"),"15-021")</f>
        <v>15-021</v>
      </c>
      <c r="H734" s="71" t="str">
        <f ca="1">IFERROR(__xludf.DUMMYFUNCTION("IF(I739="""","""",FILTER(DATOS!$C$4:$C$237,DATOS!$B$4:$B$237=I739))"),"ANTONIO NARIÑO")</f>
        <v>ANTONIO NARIÑO</v>
      </c>
      <c r="I734" s="35" t="s">
        <v>319</v>
      </c>
      <c r="J734" s="36" t="s">
        <v>273</v>
      </c>
      <c r="K734" s="30">
        <v>2312951.19</v>
      </c>
      <c r="L734" s="57"/>
    </row>
    <row r="735" spans="1:12" ht="15.75" customHeight="1">
      <c r="A735" s="214"/>
      <c r="B735" s="228"/>
      <c r="C735" s="228"/>
      <c r="D735" s="228"/>
      <c r="E735" s="228"/>
      <c r="F735" s="228"/>
      <c r="G735" s="71" t="str">
        <f ca="1">IFERROR(__xludf.DUMMYFUNCTION("IF(I740="""","""",FILTER(DATOS!$D$4:$D$237,DATOS!$B$4:$B$237=I740))"),"15-021")</f>
        <v>15-021</v>
      </c>
      <c r="H735" s="71" t="str">
        <f ca="1">IFERROR(__xludf.DUMMYFUNCTION("IF(I740="""","""",FILTER(DATOS!$C$4:$C$237,DATOS!$B$4:$B$237=I740))"),"ANTONIO NARIÑO")</f>
        <v>ANTONIO NARIÑO</v>
      </c>
      <c r="I735" s="35" t="s">
        <v>319</v>
      </c>
      <c r="J735" s="36" t="s">
        <v>273</v>
      </c>
      <c r="K735" s="30">
        <v>2299883.4900000002</v>
      </c>
      <c r="L735" s="57"/>
    </row>
    <row r="736" spans="1:12" ht="15.75" customHeight="1">
      <c r="A736" s="214"/>
      <c r="B736" s="228"/>
      <c r="C736" s="228"/>
      <c r="D736" s="228"/>
      <c r="E736" s="228"/>
      <c r="F736" s="228"/>
      <c r="G736" s="71" t="str">
        <f ca="1">IFERROR(__xludf.DUMMYFUNCTION("IF(I741="""","""",FILTER(DATOS!$D$4:$D$237,DATOS!$B$4:$B$237=I741))"),"15-036")</f>
        <v>15-036</v>
      </c>
      <c r="H736" s="71" t="str">
        <f ca="1">IFERROR(__xludf.DUMMYFUNCTION("IF(I741="""","""",FILTER(DATOS!$C$4:$C$237,DATOS!$B$4:$B$237=I741))"),"ANTONIO NARIÑO")</f>
        <v>ANTONIO NARIÑO</v>
      </c>
      <c r="I736" s="35" t="s">
        <v>137</v>
      </c>
      <c r="J736" s="36" t="s">
        <v>273</v>
      </c>
      <c r="K736" s="30">
        <v>2345623.14</v>
      </c>
      <c r="L736" s="57"/>
    </row>
    <row r="737" spans="1:12" ht="15.75" customHeight="1">
      <c r="A737" s="214"/>
      <c r="B737" s="228"/>
      <c r="C737" s="228"/>
      <c r="D737" s="228"/>
      <c r="E737" s="228"/>
      <c r="F737" s="228"/>
      <c r="G737" s="71" t="str">
        <f ca="1">IFERROR(__xludf.DUMMYFUNCTION("IF(I742="""","""",FILTER(DATOS!$D$4:$D$237,DATOS!$B$4:$B$237=I742))"),"12-023")</f>
        <v>12-023</v>
      </c>
      <c r="H737" s="71" t="str">
        <f ca="1">IFERROR(__xludf.DUMMYFUNCTION("IF(I742="""","""",FILTER(DATOS!$C$4:$C$237,DATOS!$B$4:$B$237=I742))"),"BARRIOS UNIDOS")</f>
        <v>BARRIOS UNIDOS</v>
      </c>
      <c r="I737" s="35" t="s">
        <v>36</v>
      </c>
      <c r="J737" s="36" t="s">
        <v>318</v>
      </c>
      <c r="K737" s="30">
        <v>3713351.5600000005</v>
      </c>
      <c r="L737" s="57"/>
    </row>
    <row r="738" spans="1:12" ht="15.75" customHeight="1">
      <c r="A738" s="214"/>
      <c r="B738" s="228"/>
      <c r="C738" s="228"/>
      <c r="D738" s="228"/>
      <c r="E738" s="228"/>
      <c r="F738" s="228"/>
      <c r="G738" s="71" t="str">
        <f ca="1">IFERROR(__xludf.DUMMYFUNCTION("IF(I743="""","""",FILTER(DATOS!$D$4:$D$237,DATOS!$B$4:$B$237=I743))"),"12-091")</f>
        <v>12-091</v>
      </c>
      <c r="H738" s="71" t="str">
        <f ca="1">IFERROR(__xludf.DUMMYFUNCTION("IF(I743="""","""",FILTER(DATOS!$C$4:$C$237,DATOS!$B$4:$B$237=I743))"),"BARRIOS UNIDOS")</f>
        <v>BARRIOS UNIDOS</v>
      </c>
      <c r="I738" s="35" t="s">
        <v>53</v>
      </c>
      <c r="J738" s="36" t="s">
        <v>318</v>
      </c>
      <c r="K738" s="30">
        <v>4839236.3500000006</v>
      </c>
      <c r="L738" s="57"/>
    </row>
    <row r="739" spans="1:12" ht="15.75" customHeight="1">
      <c r="A739" s="214"/>
      <c r="B739" s="228"/>
      <c r="C739" s="228"/>
      <c r="D739" s="228"/>
      <c r="E739" s="228"/>
      <c r="F739" s="228"/>
      <c r="G739" s="71" t="str">
        <f ca="1">IFERROR(__xludf.DUMMYFUNCTION("IF(I744="""","""",FILTER(DATOS!$D$4:$D$237,DATOS!$B$4:$B$237=I744))"),"12-091")</f>
        <v>12-091</v>
      </c>
      <c r="H739" s="71" t="str">
        <f ca="1">IFERROR(__xludf.DUMMYFUNCTION("IF(I744="""","""",FILTER(DATOS!$C$4:$C$237,DATOS!$B$4:$B$237=I744))"),"BARRIOS UNIDOS")</f>
        <v>BARRIOS UNIDOS</v>
      </c>
      <c r="I739" s="35" t="s">
        <v>53</v>
      </c>
      <c r="J739" s="36" t="s">
        <v>318</v>
      </c>
      <c r="K739" s="30">
        <v>3586824.44</v>
      </c>
      <c r="L739" s="57"/>
    </row>
    <row r="740" spans="1:12" ht="15.75" customHeight="1">
      <c r="A740" s="214"/>
      <c r="B740" s="228"/>
      <c r="C740" s="228"/>
      <c r="D740" s="228"/>
      <c r="E740" s="228"/>
      <c r="F740" s="228"/>
      <c r="G740" s="71" t="str">
        <f ca="1">IFERROR(__xludf.DUMMYFUNCTION("IF(I745="""","""",FILTER(DATOS!$D$4:$D$237,DATOS!$B$4:$B$237=I745))"),"12-035")</f>
        <v>12-035</v>
      </c>
      <c r="H740" s="71" t="str">
        <f ca="1">IFERROR(__xludf.DUMMYFUNCTION("IF(I745="""","""",FILTER(DATOS!$C$4:$C$237,DATOS!$B$4:$B$237=I745))"),"BARRIOS UNIDOS")</f>
        <v>BARRIOS UNIDOS</v>
      </c>
      <c r="I740" s="35" t="s">
        <v>320</v>
      </c>
      <c r="J740" s="36" t="s">
        <v>273</v>
      </c>
      <c r="K740" s="30">
        <v>2873765.4000000004</v>
      </c>
      <c r="L740" s="57"/>
    </row>
    <row r="741" spans="1:12" ht="15.75" customHeight="1">
      <c r="A741" s="214"/>
      <c r="B741" s="228"/>
      <c r="C741" s="228"/>
      <c r="D741" s="228"/>
      <c r="E741" s="228"/>
      <c r="F741" s="228"/>
      <c r="G741" s="71" t="str">
        <f ca="1">IFERROR(__xludf.DUMMYFUNCTION("IF(I746="""","""",FILTER(DATOS!$D$4:$D$237,DATOS!$B$4:$B$237=I746))"),"07-152")</f>
        <v>07-152</v>
      </c>
      <c r="H741" s="71" t="str">
        <f ca="1">IFERROR(__xludf.DUMMYFUNCTION("IF(I746="""","""",FILTER(DATOS!$C$4:$C$237,DATOS!$B$4:$B$237=I746))"),"BOSA")</f>
        <v>BOSA</v>
      </c>
      <c r="I741" s="35" t="s">
        <v>92</v>
      </c>
      <c r="J741" s="36" t="s">
        <v>318</v>
      </c>
      <c r="K741" s="30">
        <v>5087266.8500000006</v>
      </c>
      <c r="L741" s="57"/>
    </row>
    <row r="742" spans="1:12" ht="15.75" customHeight="1">
      <c r="A742" s="214"/>
      <c r="B742" s="228"/>
      <c r="C742" s="228"/>
      <c r="D742" s="228"/>
      <c r="E742" s="228"/>
      <c r="F742" s="228"/>
      <c r="G742" s="71" t="str">
        <f ca="1">IFERROR(__xludf.DUMMYFUNCTION("IF(I747="""","""",FILTER(DATOS!$D$4:$D$237,DATOS!$B$4:$B$237=I747))"),"07-163")</f>
        <v>07-163</v>
      </c>
      <c r="H742" s="71" t="str">
        <f ca="1">IFERROR(__xludf.DUMMYFUNCTION("IF(I747="""","""",FILTER(DATOS!$C$4:$C$237,DATOS!$B$4:$B$237=I747))"),"BOSA")</f>
        <v>BOSA</v>
      </c>
      <c r="I742" s="35" t="s">
        <v>80</v>
      </c>
      <c r="J742" s="36" t="s">
        <v>321</v>
      </c>
      <c r="K742" s="30">
        <v>3568820.07</v>
      </c>
      <c r="L742" s="57"/>
    </row>
    <row r="743" spans="1:12" ht="15.75" customHeight="1">
      <c r="A743" s="214"/>
      <c r="B743" s="228"/>
      <c r="C743" s="228"/>
      <c r="D743" s="228"/>
      <c r="E743" s="228"/>
      <c r="F743" s="228"/>
      <c r="G743" s="71" t="str">
        <f ca="1">IFERROR(__xludf.DUMMYFUNCTION("IF(I748="""","""",FILTER(DATOS!$D$4:$D$237,DATOS!$B$4:$B$237=I748))"),"07-163")</f>
        <v>07-163</v>
      </c>
      <c r="H743" s="71" t="str">
        <f ca="1">IFERROR(__xludf.DUMMYFUNCTION("IF(I748="""","""",FILTER(DATOS!$C$4:$C$237,DATOS!$B$4:$B$237=I748))"),"BOSA")</f>
        <v>BOSA</v>
      </c>
      <c r="I743" s="35" t="s">
        <v>80</v>
      </c>
      <c r="J743" s="36" t="s">
        <v>321</v>
      </c>
      <c r="K743" s="30">
        <v>3523518.72</v>
      </c>
      <c r="L743" s="57"/>
    </row>
    <row r="744" spans="1:12" ht="15.75" customHeight="1">
      <c r="A744" s="214"/>
      <c r="B744" s="228"/>
      <c r="C744" s="228"/>
      <c r="D744" s="228"/>
      <c r="E744" s="228"/>
      <c r="F744" s="228"/>
      <c r="G744" s="71" t="str">
        <f ca="1">IFERROR(__xludf.DUMMYFUNCTION("IF(I749="""","""",FILTER(DATOS!$D$4:$D$237,DATOS!$B$4:$B$237=I749))"),"07-391")</f>
        <v>07-391</v>
      </c>
      <c r="H744" s="71" t="str">
        <f ca="1">IFERROR(__xludf.DUMMYFUNCTION("IF(I749="""","""",FILTER(DATOS!$C$4:$C$237,DATOS!$B$4:$B$237=I749))"),"BOSA")</f>
        <v>BOSA</v>
      </c>
      <c r="I744" s="35" t="s">
        <v>119</v>
      </c>
      <c r="J744" s="36" t="s">
        <v>273</v>
      </c>
      <c r="K744" s="30">
        <v>2312951.19</v>
      </c>
      <c r="L744" s="57"/>
    </row>
    <row r="745" spans="1:12" ht="15.75" customHeight="1">
      <c r="A745" s="214"/>
      <c r="B745" s="228"/>
      <c r="C745" s="228"/>
      <c r="D745" s="228"/>
      <c r="E745" s="228"/>
      <c r="F745" s="228"/>
      <c r="G745" s="71" t="str">
        <f ca="1">IFERROR(__xludf.DUMMYFUNCTION("IF(I750="""","""",FILTER(DATOS!$D$4:$D$237,DATOS!$B$4:$B$237=I750))"),"07-391")</f>
        <v>07-391</v>
      </c>
      <c r="H745" s="71" t="str">
        <f ca="1">IFERROR(__xludf.DUMMYFUNCTION("IF(I750="""","""",FILTER(DATOS!$C$4:$C$237,DATOS!$B$4:$B$237=I750))"),"BOSA")</f>
        <v>BOSA</v>
      </c>
      <c r="I745" s="35" t="s">
        <v>119</v>
      </c>
      <c r="J745" s="36" t="s">
        <v>273</v>
      </c>
      <c r="K745" s="30">
        <v>2312951.19</v>
      </c>
      <c r="L745" s="57"/>
    </row>
    <row r="746" spans="1:12" ht="15.75" customHeight="1">
      <c r="A746" s="214"/>
      <c r="B746" s="228"/>
      <c r="C746" s="228"/>
      <c r="D746" s="228"/>
      <c r="E746" s="228"/>
      <c r="F746" s="228"/>
      <c r="G746" s="71" t="str">
        <f ca="1">IFERROR(__xludf.DUMMYFUNCTION("IF(I751="""","""",FILTER(DATOS!$D$4:$D$237,DATOS!$B$4:$B$237=I751))"),"07-391")</f>
        <v>07-391</v>
      </c>
      <c r="H746" s="71" t="str">
        <f ca="1">IFERROR(__xludf.DUMMYFUNCTION("IF(I751="""","""",FILTER(DATOS!$C$4:$C$237,DATOS!$B$4:$B$237=I751))"),"BOSA")</f>
        <v>BOSA</v>
      </c>
      <c r="I746" s="35" t="s">
        <v>119</v>
      </c>
      <c r="J746" s="36" t="s">
        <v>273</v>
      </c>
      <c r="K746" s="30">
        <v>2312951.19</v>
      </c>
      <c r="L746" s="57"/>
    </row>
    <row r="747" spans="1:12" ht="15.75" customHeight="1">
      <c r="A747" s="214"/>
      <c r="B747" s="228"/>
      <c r="C747" s="228"/>
      <c r="D747" s="228"/>
      <c r="E747" s="228"/>
      <c r="F747" s="228"/>
      <c r="G747" s="71" t="str">
        <f ca="1">IFERROR(__xludf.DUMMYFUNCTION("IF(I752="""","""",FILTER(DATOS!$D$4:$D$237,DATOS!$B$4:$B$237=I752))"),"07-391")</f>
        <v>07-391</v>
      </c>
      <c r="H747" s="71" t="str">
        <f ca="1">IFERROR(__xludf.DUMMYFUNCTION("IF(I752="""","""",FILTER(DATOS!$C$4:$C$237,DATOS!$B$4:$B$237=I752))"),"BOSA")</f>
        <v>BOSA</v>
      </c>
      <c r="I747" s="35" t="s">
        <v>119</v>
      </c>
      <c r="J747" s="36" t="s">
        <v>273</v>
      </c>
      <c r="K747" s="30">
        <v>2305720.41</v>
      </c>
      <c r="L747" s="57"/>
    </row>
    <row r="748" spans="1:12" ht="15.75" customHeight="1">
      <c r="A748" s="214"/>
      <c r="B748" s="228"/>
      <c r="C748" s="228"/>
      <c r="D748" s="228"/>
      <c r="E748" s="228"/>
      <c r="F748" s="228"/>
      <c r="G748" s="71" t="str">
        <f ca="1">IFERROR(__xludf.DUMMYFUNCTION("IF(I753="""","""",FILTER(DATOS!$D$4:$D$237,DATOS!$B$4:$B$237=I753))"),"07-391")</f>
        <v>07-391</v>
      </c>
      <c r="H748" s="71" t="str">
        <f ca="1">IFERROR(__xludf.DUMMYFUNCTION("IF(I753="""","""",FILTER(DATOS!$C$4:$C$237,DATOS!$B$4:$B$237=I753))"),"BOSA")</f>
        <v>BOSA</v>
      </c>
      <c r="I748" s="35" t="s">
        <v>119</v>
      </c>
      <c r="J748" s="36" t="s">
        <v>273</v>
      </c>
      <c r="K748" s="30">
        <v>2305720.41</v>
      </c>
      <c r="L748" s="57"/>
    </row>
    <row r="749" spans="1:12" ht="15.75" customHeight="1">
      <c r="A749" s="214"/>
      <c r="B749" s="228"/>
      <c r="C749" s="228"/>
      <c r="D749" s="228"/>
      <c r="E749" s="228"/>
      <c r="F749" s="228"/>
      <c r="G749" s="71" t="str">
        <f ca="1">IFERROR(__xludf.DUMMYFUNCTION("IF(I754="""","""",FILTER(DATOS!$D$4:$D$237,DATOS!$B$4:$B$237=I754))"),"07-391")</f>
        <v>07-391</v>
      </c>
      <c r="H749" s="71" t="str">
        <f ca="1">IFERROR(__xludf.DUMMYFUNCTION("IF(I754="""","""",FILTER(DATOS!$C$4:$C$237,DATOS!$B$4:$B$237=I754))"),"BOSA")</f>
        <v>BOSA</v>
      </c>
      <c r="I749" s="35" t="s">
        <v>119</v>
      </c>
      <c r="J749" s="36" t="s">
        <v>273</v>
      </c>
      <c r="K749" s="30">
        <v>2285944.6100000003</v>
      </c>
      <c r="L749" s="57"/>
    </row>
    <row r="750" spans="1:12" ht="15.75" customHeight="1">
      <c r="A750" s="214"/>
      <c r="B750" s="228"/>
      <c r="C750" s="228"/>
      <c r="D750" s="228"/>
      <c r="E750" s="228"/>
      <c r="F750" s="228"/>
      <c r="G750" s="71" t="str">
        <f ca="1">IFERROR(__xludf.DUMMYFUNCTION("IF(I755="""","""",FILTER(DATOS!$D$4:$D$237,DATOS!$B$4:$B$237=I755))"),"07-260")</f>
        <v>07-260</v>
      </c>
      <c r="H750" s="71" t="str">
        <f ca="1">IFERROR(__xludf.DUMMYFUNCTION("IF(I755="""","""",FILTER(DATOS!$C$4:$C$237,DATOS!$B$4:$B$237=I755))"),"BOSA")</f>
        <v>BOSA</v>
      </c>
      <c r="I750" s="35" t="s">
        <v>84</v>
      </c>
      <c r="J750" s="36" t="s">
        <v>273</v>
      </c>
      <c r="K750" s="30">
        <v>2334730.71</v>
      </c>
      <c r="L750" s="57"/>
    </row>
    <row r="751" spans="1:12" ht="15.75" customHeight="1">
      <c r="A751" s="214"/>
      <c r="B751" s="228"/>
      <c r="C751" s="228"/>
      <c r="D751" s="228"/>
      <c r="E751" s="228"/>
      <c r="F751" s="228"/>
      <c r="G751" s="71" t="str">
        <f ca="1">IFERROR(__xludf.DUMMYFUNCTION("IF(I756="""","""",FILTER(DATOS!$D$4:$D$237,DATOS!$B$4:$B$237=I756))"),"07-273")</f>
        <v>07-273</v>
      </c>
      <c r="H751" s="71" t="str">
        <f ca="1">IFERROR(__xludf.DUMMYFUNCTION("IF(I756="""","""",FILTER(DATOS!$C$4:$C$237,DATOS!$B$4:$B$237=I756))"),"BOSA")</f>
        <v>BOSA</v>
      </c>
      <c r="I751" s="35" t="s">
        <v>103</v>
      </c>
      <c r="J751" s="36" t="s">
        <v>273</v>
      </c>
      <c r="K751" s="30">
        <v>2881606.0200000005</v>
      </c>
      <c r="L751" s="57"/>
    </row>
    <row r="752" spans="1:12" ht="15.75" customHeight="1">
      <c r="A752" s="214"/>
      <c r="B752" s="228"/>
      <c r="C752" s="228"/>
      <c r="D752" s="228"/>
      <c r="E752" s="228"/>
      <c r="F752" s="228"/>
      <c r="G752" s="71" t="str">
        <f ca="1">IFERROR(__xludf.DUMMYFUNCTION("IF(I757="""","""",FILTER(DATOS!$D$4:$D$237,DATOS!$B$4:$B$237=I757))"),"07-274")</f>
        <v>07-274</v>
      </c>
      <c r="H752" s="71" t="str">
        <f ca="1">IFERROR(__xludf.DUMMYFUNCTION("IF(I757="""","""",FILTER(DATOS!$C$4:$C$237,DATOS!$B$4:$B$237=I757))"),"BOSA")</f>
        <v>BOSA</v>
      </c>
      <c r="I752" s="35" t="s">
        <v>130</v>
      </c>
      <c r="J752" s="36" t="s">
        <v>273</v>
      </c>
      <c r="K752" s="30">
        <v>2312341.38</v>
      </c>
      <c r="L752" s="57"/>
    </row>
    <row r="753" spans="1:12" ht="15.75" customHeight="1">
      <c r="A753" s="214"/>
      <c r="B753" s="228"/>
      <c r="C753" s="228"/>
      <c r="D753" s="228"/>
      <c r="E753" s="228"/>
      <c r="F753" s="228"/>
      <c r="G753" s="71" t="str">
        <f ca="1">IFERROR(__xludf.DUMMYFUNCTION("IF(I758="""","""",FILTER(DATOS!$D$4:$D$237,DATOS!$B$4:$B$237=I758))"),"07-035")</f>
        <v>07-035</v>
      </c>
      <c r="H753" s="71" t="str">
        <f ca="1">IFERROR(__xludf.DUMMYFUNCTION("IF(I758="""","""",FILTER(DATOS!$C$4:$C$237,DATOS!$B$4:$B$237=I758))"),"BOSA")</f>
        <v>BOSA</v>
      </c>
      <c r="I753" s="35" t="s">
        <v>116</v>
      </c>
      <c r="J753" s="36" t="s">
        <v>318</v>
      </c>
      <c r="K753" s="30">
        <v>3001617.24</v>
      </c>
      <c r="L753" s="57"/>
    </row>
    <row r="754" spans="1:12" ht="15.75" customHeight="1">
      <c r="A754" s="214"/>
      <c r="B754" s="228"/>
      <c r="C754" s="228"/>
      <c r="D754" s="228"/>
      <c r="E754" s="228"/>
      <c r="F754" s="228"/>
      <c r="G754" s="71" t="str">
        <f ca="1">IFERROR(__xludf.DUMMYFUNCTION("IF(I759="""","""",FILTER(DATOS!$D$4:$D$237,DATOS!$B$4:$B$237=I759))"),"07-436")</f>
        <v>07-436</v>
      </c>
      <c r="H754" s="71" t="str">
        <f ca="1">IFERROR(__xludf.DUMMYFUNCTION("IF(I759="""","""",FILTER(DATOS!$C$4:$C$237,DATOS!$B$4:$B$237=I759))"),"BOSA")</f>
        <v>BOSA</v>
      </c>
      <c r="I754" s="35" t="s">
        <v>140</v>
      </c>
      <c r="J754" s="36" t="s">
        <v>273</v>
      </c>
      <c r="K754" s="30">
        <v>2890317.81</v>
      </c>
      <c r="L754" s="57"/>
    </row>
    <row r="755" spans="1:12" ht="15.75" customHeight="1">
      <c r="A755" s="214"/>
      <c r="B755" s="228"/>
      <c r="C755" s="228"/>
      <c r="D755" s="228"/>
      <c r="E755" s="228"/>
      <c r="F755" s="228"/>
      <c r="G755" s="71" t="str">
        <f ca="1">IFERROR(__xludf.DUMMYFUNCTION("IF(I760="""","""",FILTER(DATOS!$D$4:$D$237,DATOS!$B$4:$B$237=I760))"),"07-436")</f>
        <v>07-436</v>
      </c>
      <c r="H755" s="71" t="str">
        <f ca="1">IFERROR(__xludf.DUMMYFUNCTION("IF(I760="""","""",FILTER(DATOS!$C$4:$C$237,DATOS!$B$4:$B$237=I760))"),"BOSA")</f>
        <v>BOSA</v>
      </c>
      <c r="I755" s="35" t="s">
        <v>140</v>
      </c>
      <c r="J755" s="36" t="s">
        <v>273</v>
      </c>
      <c r="K755" s="30">
        <v>2888575.4699999997</v>
      </c>
      <c r="L755" s="57"/>
    </row>
    <row r="756" spans="1:12" ht="15.75" customHeight="1">
      <c r="A756" s="214"/>
      <c r="B756" s="228"/>
      <c r="C756" s="228"/>
      <c r="D756" s="228"/>
      <c r="E756" s="228"/>
      <c r="F756" s="228"/>
      <c r="G756" s="71" t="str">
        <f ca="1">IFERROR(__xludf.DUMMYFUNCTION("IF(I761="""","""",FILTER(DATOS!$D$4:$D$237,DATOS!$B$4:$B$237=I761))"),"07-436")</f>
        <v>07-436</v>
      </c>
      <c r="H756" s="71" t="str">
        <f ca="1">IFERROR(__xludf.DUMMYFUNCTION("IF(I761="""","""",FILTER(DATOS!$C$4:$C$237,DATOS!$B$4:$B$237=I761))"),"BOSA")</f>
        <v>BOSA</v>
      </c>
      <c r="I756" s="35" t="s">
        <v>140</v>
      </c>
      <c r="J756" s="36" t="s">
        <v>273</v>
      </c>
      <c r="K756" s="30">
        <v>2868973.92</v>
      </c>
      <c r="L756" s="57"/>
    </row>
    <row r="757" spans="1:12" ht="15.75" customHeight="1">
      <c r="A757" s="214"/>
      <c r="B757" s="228"/>
      <c r="C757" s="228"/>
      <c r="D757" s="228"/>
      <c r="E757" s="228"/>
      <c r="F757" s="228"/>
      <c r="G757" s="71" t="str">
        <f ca="1">IFERROR(__xludf.DUMMYFUNCTION("IF(I762="""","""",FILTER(DATOS!$D$4:$D$237,DATOS!$B$4:$B$237=I762))"),"07-403")</f>
        <v>07-403</v>
      </c>
      <c r="H757" s="71" t="str">
        <f ca="1">IFERROR(__xludf.DUMMYFUNCTION("IF(I762="""","""",FILTER(DATOS!$C$4:$C$237,DATOS!$B$4:$B$237=I762))"),"BOSA")</f>
        <v>BOSA</v>
      </c>
      <c r="I757" s="35" t="s">
        <v>322</v>
      </c>
      <c r="J757" s="36" t="s">
        <v>283</v>
      </c>
      <c r="K757" s="30">
        <v>2908612.59</v>
      </c>
      <c r="L757" s="57"/>
    </row>
    <row r="758" spans="1:12" ht="15.75" customHeight="1">
      <c r="A758" s="214"/>
      <c r="B758" s="228"/>
      <c r="C758" s="228"/>
      <c r="D758" s="228"/>
      <c r="E758" s="228"/>
      <c r="F758" s="228"/>
      <c r="G758" s="71" t="str">
        <f ca="1">IFERROR(__xludf.DUMMYFUNCTION("IF(I763="""","""",FILTER(DATOS!$D$4:$D$237,DATOS!$B$4:$B$237=I763))"),"07-164")</f>
        <v>07-164</v>
      </c>
      <c r="H758" s="71" t="str">
        <f ca="1">IFERROR(__xludf.DUMMYFUNCTION("IF(I763="""","""",FILTER(DATOS!$C$4:$C$237,DATOS!$B$4:$B$237=I763))"),"BOSA")</f>
        <v>BOSA</v>
      </c>
      <c r="I758" s="35" t="s">
        <v>85</v>
      </c>
      <c r="J758" s="36" t="s">
        <v>283</v>
      </c>
      <c r="K758" s="30">
        <v>2323608.63</v>
      </c>
      <c r="L758" s="57"/>
    </row>
    <row r="759" spans="1:12" ht="15.75" customHeight="1">
      <c r="A759" s="214"/>
      <c r="B759" s="228"/>
      <c r="C759" s="228"/>
      <c r="D759" s="228"/>
      <c r="E759" s="228"/>
      <c r="F759" s="228"/>
      <c r="G759" s="71" t="str">
        <f ca="1">IFERROR(__xludf.DUMMYFUNCTION("IF(I764="""","""",FILTER(DATOS!$D$4:$D$237,DATOS!$B$4:$B$237=I764))"),"07-321")</f>
        <v>07-321</v>
      </c>
      <c r="H759" s="71" t="str">
        <f ca="1">IFERROR(__xludf.DUMMYFUNCTION("IF(I764="""","""",FILTER(DATOS!$C$4:$C$237,DATOS!$B$4:$B$237=I764))"),"BOSA")</f>
        <v>BOSA</v>
      </c>
      <c r="I759" s="35" t="s">
        <v>323</v>
      </c>
      <c r="J759" s="36" t="s">
        <v>283</v>
      </c>
      <c r="K759" s="30">
        <v>2888096.29</v>
      </c>
      <c r="L759" s="57"/>
    </row>
    <row r="760" spans="1:12" ht="15.75" customHeight="1">
      <c r="A760" s="214"/>
      <c r="B760" s="228"/>
      <c r="C760" s="228"/>
      <c r="D760" s="228"/>
      <c r="E760" s="228"/>
      <c r="F760" s="228"/>
      <c r="G760" s="71" t="str">
        <f ca="1">IFERROR(__xludf.DUMMYFUNCTION("IF(I765="""","""",FILTER(DATOS!$D$4:$D$237,DATOS!$B$4:$B$237=I765))"),"07-036")</f>
        <v>07-036</v>
      </c>
      <c r="H760" s="71" t="str">
        <f ca="1">IFERROR(__xludf.DUMMYFUNCTION("IF(I765="""","""",FILTER(DATOS!$C$4:$C$237,DATOS!$B$4:$B$237=I765))"),"BOSA")</f>
        <v>BOSA</v>
      </c>
      <c r="I760" s="35" t="s">
        <v>131</v>
      </c>
      <c r="J760" s="36" t="s">
        <v>283</v>
      </c>
      <c r="K760" s="30">
        <v>2359123.73</v>
      </c>
      <c r="L760" s="57"/>
    </row>
    <row r="761" spans="1:12" ht="15.75" customHeight="1">
      <c r="A761" s="214"/>
      <c r="B761" s="228"/>
      <c r="C761" s="228"/>
      <c r="D761" s="228"/>
      <c r="E761" s="228"/>
      <c r="F761" s="228"/>
      <c r="G761" s="71" t="str">
        <f ca="1">IFERROR(__xludf.DUMMYFUNCTION("IF(I766="""","""",FILTER(DATOS!$D$4:$D$237,DATOS!$B$4:$B$237=I766))"),"07-292")</f>
        <v>07-292</v>
      </c>
      <c r="H761" s="71" t="str">
        <f ca="1">IFERROR(__xludf.DUMMYFUNCTION("IF(I766="""","""",FILTER(DATOS!$C$4:$C$237,DATOS!$B$4:$B$237=I766))"),"BOSA")</f>
        <v>BOSA</v>
      </c>
      <c r="I761" s="35" t="s">
        <v>324</v>
      </c>
      <c r="J761" s="36" t="s">
        <v>283</v>
      </c>
      <c r="K761" s="30">
        <v>2904692.2800000003</v>
      </c>
      <c r="L761" s="57"/>
    </row>
    <row r="762" spans="1:12" ht="15.75" customHeight="1">
      <c r="A762" s="214"/>
      <c r="B762" s="228"/>
      <c r="C762" s="228"/>
      <c r="D762" s="228"/>
      <c r="E762" s="228"/>
      <c r="F762" s="228"/>
      <c r="G762" s="71" t="str">
        <f ca="1">IFERROR(__xludf.DUMMYFUNCTION("IF(I767="""","""",FILTER(DATOS!$D$4:$D$237,DATOS!$B$4:$B$237=I767))"),"02-007")</f>
        <v>02-007</v>
      </c>
      <c r="H762" s="71" t="str">
        <f ca="1">IFERROR(__xludf.DUMMYFUNCTION("IF(I767="""","""",FILTER(DATOS!$C$4:$C$237,DATOS!$B$4:$B$237=I767))"),"CHAPINERO")</f>
        <v>CHAPINERO</v>
      </c>
      <c r="I762" s="35" t="s">
        <v>325</v>
      </c>
      <c r="J762" s="36" t="s">
        <v>283</v>
      </c>
      <c r="K762" s="30">
        <v>2869409.49</v>
      </c>
      <c r="L762" s="57"/>
    </row>
    <row r="763" spans="1:12" ht="15.75" customHeight="1">
      <c r="A763" s="214"/>
      <c r="B763" s="228"/>
      <c r="C763" s="228"/>
      <c r="D763" s="228"/>
      <c r="E763" s="228"/>
      <c r="F763" s="228"/>
      <c r="G763" s="71" t="str">
        <f ca="1">IFERROR(__xludf.DUMMYFUNCTION("IF(I768="""","""",FILTER(DATOS!$D$4:$D$237,DATOS!$B$4:$B$237=I768))"),"19-756")</f>
        <v>19-756</v>
      </c>
      <c r="H763" s="71" t="str">
        <f ca="1">IFERROR(__xludf.DUMMYFUNCTION("IF(I768="""","""",FILTER(DATOS!$C$4:$C$237,DATOS!$B$4:$B$237=I768))"),"CIUDAD BOLIVAR")</f>
        <v>CIUDAD BOLIVAR</v>
      </c>
      <c r="I763" s="31" t="s">
        <v>71</v>
      </c>
      <c r="J763" s="36" t="s">
        <v>283</v>
      </c>
      <c r="K763" s="30">
        <v>2298141.12</v>
      </c>
      <c r="L763" s="57"/>
    </row>
    <row r="764" spans="1:12" ht="15.75" customHeight="1">
      <c r="A764" s="214"/>
      <c r="B764" s="228"/>
      <c r="C764" s="228"/>
      <c r="D764" s="228"/>
      <c r="E764" s="228"/>
      <c r="F764" s="228"/>
      <c r="G764" s="71" t="str">
        <f ca="1">IFERROR(__xludf.DUMMYFUNCTION("IF(I769="""","""",FILTER(DATOS!$D$4:$D$237,DATOS!$B$4:$B$237=I769))"),"19-756")</f>
        <v>19-756</v>
      </c>
      <c r="H764" s="71" t="str">
        <f ca="1">IFERROR(__xludf.DUMMYFUNCTION("IF(I769="""","""",FILTER(DATOS!$C$4:$C$237,DATOS!$B$4:$B$237=I769))"),"CIUDAD BOLIVAR")</f>
        <v>CIUDAD BOLIVAR</v>
      </c>
      <c r="I764" s="31" t="s">
        <v>71</v>
      </c>
      <c r="J764" s="36" t="s">
        <v>283</v>
      </c>
      <c r="K764" s="30">
        <v>2298141.12</v>
      </c>
      <c r="L764" s="57"/>
    </row>
    <row r="765" spans="1:12" ht="15.75" customHeight="1">
      <c r="A765" s="214"/>
      <c r="B765" s="228"/>
      <c r="C765" s="228"/>
      <c r="D765" s="228"/>
      <c r="E765" s="228"/>
      <c r="F765" s="228"/>
      <c r="G765" s="71" t="str">
        <f ca="1">IFERROR(__xludf.DUMMYFUNCTION("IF(I770="""","""",FILTER(DATOS!$D$4:$D$237,DATOS!$B$4:$B$237=I770))"),"19-188")</f>
        <v>19-188</v>
      </c>
      <c r="H765" s="71" t="str">
        <f ca="1">IFERROR(__xludf.DUMMYFUNCTION("IF(I770="""","""",FILTER(DATOS!$C$4:$C$237,DATOS!$B$4:$B$237=I770))"),"CIUDAD BOLIVAR")</f>
        <v>CIUDAD BOLIVAR</v>
      </c>
      <c r="I765" s="31" t="s">
        <v>72</v>
      </c>
      <c r="J765" s="36" t="s">
        <v>283</v>
      </c>
      <c r="K765" s="30">
        <v>2293785.21</v>
      </c>
      <c r="L765" s="57"/>
    </row>
    <row r="766" spans="1:12" ht="15.75" customHeight="1">
      <c r="A766" s="214"/>
      <c r="B766" s="228"/>
      <c r="C766" s="228"/>
      <c r="D766" s="228"/>
      <c r="E766" s="228"/>
      <c r="F766" s="228"/>
      <c r="G766" s="71" t="str">
        <f ca="1">IFERROR(__xludf.DUMMYFUNCTION("IF(I771="""","""",FILTER(DATOS!$D$4:$D$237,DATOS!$B$4:$B$237=I771))"),"19-750")</f>
        <v>19-750</v>
      </c>
      <c r="H766" s="71" t="str">
        <f ca="1">IFERROR(__xludf.DUMMYFUNCTION("IF(I771="""","""",FILTER(DATOS!$C$4:$C$237,DATOS!$B$4:$B$237=I771))"),"CIUDAD BOLIVAR")</f>
        <v>CIUDAD BOLIVAR</v>
      </c>
      <c r="I766" s="31" t="s">
        <v>326</v>
      </c>
      <c r="J766" s="36" t="s">
        <v>283</v>
      </c>
      <c r="K766" s="30">
        <v>2305110.59</v>
      </c>
      <c r="L766" s="57"/>
    </row>
    <row r="767" spans="1:12" ht="15.75" customHeight="1">
      <c r="A767" s="214"/>
      <c r="B767" s="228"/>
      <c r="C767" s="228"/>
      <c r="D767" s="228"/>
      <c r="E767" s="228"/>
      <c r="F767" s="228"/>
      <c r="G767" s="71" t="str">
        <f ca="1">IFERROR(__xludf.DUMMYFUNCTION("IF(I773="""","""",FILTER(DATOS!$D$4:$D$237,DATOS!$B$4:$B$237=I773))"),"19-710")</f>
        <v>19-710</v>
      </c>
      <c r="H767" s="71" t="str">
        <f ca="1">IFERROR(__xludf.DUMMYFUNCTION("IF(I773="""","""",FILTER(DATOS!$C$4:$C$237,DATOS!$B$4:$B$237=I773))"),"CIUDAD BOLIVAR")</f>
        <v>CIUDAD BOLIVAR</v>
      </c>
      <c r="I767" s="35" t="s">
        <v>327</v>
      </c>
      <c r="J767" s="36" t="s">
        <v>283</v>
      </c>
      <c r="K767" s="30">
        <v>2300972.4900000002</v>
      </c>
      <c r="L767" s="57"/>
    </row>
    <row r="768" spans="1:12" ht="15.75" customHeight="1">
      <c r="A768" s="214"/>
      <c r="B768" s="228"/>
      <c r="C768" s="228"/>
      <c r="D768" s="228"/>
      <c r="E768" s="228"/>
      <c r="F768" s="228"/>
      <c r="G768" s="71" t="str">
        <f ca="1">IFERROR(__xludf.DUMMYFUNCTION("IF(I774="""","""",FILTER(DATOS!$D$4:$D$237,DATOS!$B$4:$B$237=I774))"),"19-032")</f>
        <v>19-032</v>
      </c>
      <c r="H768" s="71" t="str">
        <f ca="1">IFERROR(__xludf.DUMMYFUNCTION("IF(I774="""","""",FILTER(DATOS!$C$4:$C$237,DATOS!$B$4:$B$237=I774))"),"CIUDAD BOLIVAR")</f>
        <v>CIUDAD BOLIVAR</v>
      </c>
      <c r="I768" s="35" t="s">
        <v>328</v>
      </c>
      <c r="J768" s="36" t="s">
        <v>283</v>
      </c>
      <c r="K768" s="30">
        <v>2293785.21</v>
      </c>
      <c r="L768" s="57"/>
    </row>
    <row r="769" spans="1:12" ht="15.75" customHeight="1">
      <c r="A769" s="214"/>
      <c r="B769" s="228"/>
      <c r="C769" s="228"/>
      <c r="D769" s="228"/>
      <c r="E769" s="228"/>
      <c r="F769" s="228"/>
      <c r="G769" s="71" t="str">
        <f ca="1">IFERROR(__xludf.DUMMYFUNCTION("IF(I775="""","""",FILTER(DATOS!$D$4:$D$237,DATOS!$B$4:$B$237=I775))"),"19-348")</f>
        <v>19-348</v>
      </c>
      <c r="H769" s="71" t="str">
        <f ca="1">IFERROR(__xludf.DUMMYFUNCTION("IF(I775="""","""",FILTER(DATOS!$C$4:$C$237,DATOS!$B$4:$B$237=I775))"),"CIUDAD BOLIVAR")</f>
        <v>CIUDAD BOLIVAR</v>
      </c>
      <c r="I769" s="35" t="s">
        <v>128</v>
      </c>
      <c r="J769" s="36" t="s">
        <v>283</v>
      </c>
      <c r="K769" s="30">
        <v>2311426.62</v>
      </c>
      <c r="L769" s="57"/>
    </row>
    <row r="770" spans="1:12" ht="15.75" customHeight="1">
      <c r="A770" s="214"/>
      <c r="B770" s="228"/>
      <c r="C770" s="228"/>
      <c r="D770" s="228"/>
      <c r="E770" s="228"/>
      <c r="F770" s="228"/>
      <c r="G770" s="71" t="str">
        <f ca="1">IFERROR(__xludf.DUMMYFUNCTION("IF(I776="""","""",FILTER(DATOS!$D$4:$D$237,DATOS!$B$4:$B$237=I776))"),"19-231")</f>
        <v>19-231</v>
      </c>
      <c r="H770" s="71" t="str">
        <f ca="1">IFERROR(__xludf.DUMMYFUNCTION("IF(I776="""","""",FILTER(DATOS!$C$4:$C$237,DATOS!$B$4:$B$237=I776))"),"CIUDAD BOLIVAR")</f>
        <v>CIUDAD BOLIVAR</v>
      </c>
      <c r="I770" s="31" t="s">
        <v>104</v>
      </c>
      <c r="J770" s="36" t="s">
        <v>283</v>
      </c>
      <c r="K770" s="30">
        <v>2309030.88</v>
      </c>
      <c r="L770" s="57"/>
    </row>
    <row r="771" spans="1:12" ht="15.75" customHeight="1">
      <c r="A771" s="214"/>
      <c r="B771" s="228"/>
      <c r="C771" s="228"/>
      <c r="D771" s="228"/>
      <c r="E771" s="228"/>
      <c r="F771" s="228"/>
      <c r="G771" s="71" t="str">
        <f ca="1">IFERROR(__xludf.DUMMYFUNCTION("IF(I777="""","""",FILTER(DATOS!$D$4:$D$237,DATOS!$B$4:$B$237=I777))"),"19-346")</f>
        <v>19-346</v>
      </c>
      <c r="H771" s="71" t="str">
        <f ca="1">IFERROR(__xludf.DUMMYFUNCTION("IF(I777="""","""",FILTER(DATOS!$C$4:$C$237,DATOS!$B$4:$B$237=I777))"),"CIUDAD BOLIVAR")</f>
        <v>CIUDAD BOLIVAR</v>
      </c>
      <c r="I771" s="31" t="s">
        <v>99</v>
      </c>
      <c r="J771" s="36" t="s">
        <v>274</v>
      </c>
      <c r="K771" s="30">
        <v>4885585.66</v>
      </c>
      <c r="L771" s="57"/>
    </row>
    <row r="772" spans="1:12" ht="15.75" customHeight="1">
      <c r="A772" s="214"/>
      <c r="B772" s="228"/>
      <c r="C772" s="228"/>
      <c r="D772" s="228"/>
      <c r="E772" s="228"/>
      <c r="F772" s="228"/>
      <c r="G772" s="71" t="str">
        <f ca="1">IFERROR(__xludf.DUMMYFUNCTION("IF(I778="""","""",FILTER(DATOS!$D$4:$D$237,DATOS!$B$4:$B$237=I778))"),"19-346")</f>
        <v>19-346</v>
      </c>
      <c r="H772" s="71" t="str">
        <f ca="1">IFERROR(__xludf.DUMMYFUNCTION("IF(I778="""","""",FILTER(DATOS!$C$4:$C$237,DATOS!$B$4:$B$237=I778))"),"CIUDAD BOLIVAR")</f>
        <v>CIUDAD BOLIVAR</v>
      </c>
      <c r="I772" s="31" t="s">
        <v>99</v>
      </c>
      <c r="J772" s="36" t="s">
        <v>283</v>
      </c>
      <c r="K772" s="30">
        <v>2299883.4900000002</v>
      </c>
      <c r="L772" s="57"/>
    </row>
    <row r="773" spans="1:12" ht="15.75" customHeight="1">
      <c r="A773" s="214"/>
      <c r="B773" s="228"/>
      <c r="C773" s="228"/>
      <c r="D773" s="228"/>
      <c r="E773" s="228"/>
      <c r="F773" s="228"/>
      <c r="G773" s="71" t="str">
        <f ca="1">IFERROR(__xludf.DUMMYFUNCTION("IF(I780="""","""",FILTER(DATOS!$D$4:$D$237,DATOS!$B$4:$B$237=I780))"),"19-349")</f>
        <v>19-349</v>
      </c>
      <c r="H773" s="71" t="str">
        <f ca="1">IFERROR(__xludf.DUMMYFUNCTION("IF(I780="""","""",FILTER(DATOS!$C$4:$C$237,DATOS!$B$4:$B$237=I780))"),"CIUDAD BOLIVAR")</f>
        <v>CIUDAD BOLIVAR</v>
      </c>
      <c r="I773" s="31" t="s">
        <v>235</v>
      </c>
      <c r="J773" s="36" t="s">
        <v>283</v>
      </c>
      <c r="K773" s="30">
        <v>2304239.4000000004</v>
      </c>
      <c r="L773" s="57"/>
    </row>
    <row r="774" spans="1:12" ht="15.75" customHeight="1">
      <c r="A774" s="214"/>
      <c r="B774" s="228"/>
      <c r="C774" s="228"/>
      <c r="D774" s="228"/>
      <c r="E774" s="228"/>
      <c r="F774" s="228"/>
      <c r="G774" s="71" t="str">
        <f ca="1">IFERROR(__xludf.DUMMYFUNCTION("IF(I781="""","""",FILTER(DATOS!$D$4:$D$237,DATOS!$B$4:$B$237=I781))"),"19-490")</f>
        <v>19-490</v>
      </c>
      <c r="H774" s="71" t="str">
        <f ca="1">IFERROR(__xludf.DUMMYFUNCTION("IF(I781="""","""",FILTER(DATOS!$C$4:$C$237,DATOS!$B$4:$B$237=I781))"),"CIUDAD BOLIVAR")</f>
        <v>CIUDAD BOLIVAR</v>
      </c>
      <c r="I774" s="35" t="s">
        <v>329</v>
      </c>
      <c r="J774" s="36" t="s">
        <v>283</v>
      </c>
      <c r="K774" s="30">
        <v>2293785.21</v>
      </c>
      <c r="L774" s="57"/>
    </row>
    <row r="775" spans="1:12" ht="15.75" customHeight="1">
      <c r="A775" s="214"/>
      <c r="B775" s="228"/>
      <c r="C775" s="228"/>
      <c r="D775" s="228"/>
      <c r="E775" s="228"/>
      <c r="F775" s="228"/>
      <c r="G775" s="71" t="str">
        <f ca="1">IFERROR(__xludf.DUMMYFUNCTION("IF(I782="""","""",FILTER(DATOS!$D$4:$D$237,DATOS!$B$4:$B$237=I782))"),"19-190")</f>
        <v>19-190</v>
      </c>
      <c r="H775" s="71" t="str">
        <f ca="1">IFERROR(__xludf.DUMMYFUNCTION("IF(I782="""","""",FILTER(DATOS!$C$4:$C$237,DATOS!$B$4:$B$237=I782))"),"CIUDAD BOLIVAR")</f>
        <v>CIUDAD BOLIVAR</v>
      </c>
      <c r="I775" s="35" t="s">
        <v>127</v>
      </c>
      <c r="J775" s="36" t="s">
        <v>283</v>
      </c>
      <c r="K775" s="30">
        <v>2869409.49</v>
      </c>
      <c r="L775" s="57"/>
    </row>
    <row r="776" spans="1:12" ht="15.75" customHeight="1">
      <c r="A776" s="214"/>
      <c r="B776" s="228"/>
      <c r="C776" s="228"/>
      <c r="D776" s="228"/>
      <c r="E776" s="228"/>
      <c r="F776" s="228"/>
      <c r="G776" s="71" t="str">
        <f ca="1">IFERROR(__xludf.DUMMYFUNCTION("IF(I783="""","""",FILTER(DATOS!$D$4:$D$237,DATOS!$B$4:$B$237=I783))"),"19-190")</f>
        <v>19-190</v>
      </c>
      <c r="H776" s="71" t="str">
        <f ca="1">IFERROR(__xludf.DUMMYFUNCTION("IF(I783="""","""",FILTER(DATOS!$C$4:$C$237,DATOS!$B$4:$B$237=I783))"),"CIUDAD BOLIVAR")</f>
        <v>CIUDAD BOLIVAR</v>
      </c>
      <c r="I776" s="35" t="s">
        <v>127</v>
      </c>
      <c r="J776" s="36" t="s">
        <v>283</v>
      </c>
      <c r="K776" s="30">
        <v>2869409.49</v>
      </c>
      <c r="L776" s="57"/>
    </row>
    <row r="777" spans="1:12" ht="15.75" customHeight="1">
      <c r="A777" s="214"/>
      <c r="B777" s="228"/>
      <c r="C777" s="228"/>
      <c r="D777" s="228"/>
      <c r="E777" s="228"/>
      <c r="F777" s="228"/>
      <c r="G777" s="71" t="str">
        <f ca="1">IFERROR(__xludf.DUMMYFUNCTION("IF(I784="""","""",FILTER(DATOS!$D$4:$D$237,DATOS!$B$4:$B$237=I784))"),"10-117")</f>
        <v>10-117</v>
      </c>
      <c r="H777" s="71" t="str">
        <f ca="1">IFERROR(__xludf.DUMMYFUNCTION("IF(I784="""","""",FILTER(DATOS!$C$4:$C$237,DATOS!$B$4:$B$237=I784))"),"ENGATIVA")</f>
        <v>ENGATIVA</v>
      </c>
      <c r="I777" s="35" t="s">
        <v>330</v>
      </c>
      <c r="J777" s="36" t="s">
        <v>283</v>
      </c>
      <c r="K777" s="30">
        <v>2922987.06</v>
      </c>
      <c r="L777" s="57"/>
    </row>
    <row r="778" spans="1:12" ht="15.75" customHeight="1">
      <c r="A778" s="214"/>
      <c r="B778" s="228"/>
      <c r="C778" s="228"/>
      <c r="D778" s="228"/>
      <c r="E778" s="228"/>
      <c r="F778" s="228"/>
      <c r="G778" s="71" t="str">
        <f ca="1">IFERROR(__xludf.DUMMYFUNCTION("IF(I785="""","""",FILTER(DATOS!$D$4:$D$237,DATOS!$B$4:$B$237=I785))"),"10-215")</f>
        <v>10-215</v>
      </c>
      <c r="H778" s="71" t="str">
        <f ca="1">IFERROR(__xludf.DUMMYFUNCTION("IF(I785="""","""",FILTER(DATOS!$C$4:$C$237,DATOS!$B$4:$B$237=I785))"),"ENGATIVA")</f>
        <v>ENGATIVA</v>
      </c>
      <c r="I778" s="35" t="s">
        <v>22</v>
      </c>
      <c r="J778" s="36" t="s">
        <v>283</v>
      </c>
      <c r="K778" s="30">
        <v>2925266.67</v>
      </c>
      <c r="L778" s="57"/>
    </row>
    <row r="779" spans="1:12" ht="15.75" customHeight="1">
      <c r="A779" s="214"/>
      <c r="B779" s="228"/>
      <c r="C779" s="228"/>
      <c r="D779" s="228"/>
      <c r="E779" s="228"/>
      <c r="F779" s="228"/>
      <c r="G779" s="71" t="str">
        <f ca="1">IFERROR(__xludf.DUMMYFUNCTION("IF(I786="""","""",FILTER(DATOS!$D$4:$D$237,DATOS!$B$4:$B$237=I786))"),"10-153")</f>
        <v>10-153</v>
      </c>
      <c r="H779" s="71" t="str">
        <f ca="1">IFERROR(__xludf.DUMMYFUNCTION("IF(I786="""","""",FILTER(DATOS!$C$4:$C$237,DATOS!$B$4:$B$237=I786))"),"ENGATIVA")</f>
        <v>ENGATIVA</v>
      </c>
      <c r="I779" s="35" t="s">
        <v>331</v>
      </c>
      <c r="J779" s="36" t="s">
        <v>318</v>
      </c>
      <c r="K779" s="30">
        <v>4042070.09</v>
      </c>
      <c r="L779" s="57"/>
    </row>
    <row r="780" spans="1:12" ht="15.75" customHeight="1">
      <c r="A780" s="214"/>
      <c r="B780" s="228"/>
      <c r="C780" s="228"/>
      <c r="D780" s="228"/>
      <c r="E780" s="228"/>
      <c r="F780" s="228"/>
      <c r="G780" s="71" t="str">
        <f ca="1">IFERROR(__xludf.DUMMYFUNCTION("IF(I787="""","""",FILTER(DATOS!$D$4:$D$237,DATOS!$B$4:$B$237=I787))"),"10-169")</f>
        <v>10-169</v>
      </c>
      <c r="H780" s="71" t="str">
        <f ca="1">IFERROR(__xludf.DUMMYFUNCTION("IF(I787="""","""",FILTER(DATOS!$C$4:$C$237,DATOS!$B$4:$B$237=I787))"),"ENGATIVA")</f>
        <v>ENGATIVA</v>
      </c>
      <c r="I780" s="35" t="s">
        <v>30</v>
      </c>
      <c r="J780" s="36" t="s">
        <v>332</v>
      </c>
      <c r="K780" s="30">
        <v>6013045.2800000003</v>
      </c>
      <c r="L780" s="57"/>
    </row>
    <row r="781" spans="1:12" ht="15.75" customHeight="1">
      <c r="A781" s="214"/>
      <c r="B781" s="228"/>
      <c r="C781" s="228"/>
      <c r="D781" s="228"/>
      <c r="E781" s="228"/>
      <c r="F781" s="228"/>
      <c r="G781" s="71" t="str">
        <f ca="1">IFERROR(__xludf.DUMMYFUNCTION("IF(I788="""","""",FILTER(DATOS!$D$4:$D$237,DATOS!$B$4:$B$237=I788))"),"10-169")</f>
        <v>10-169</v>
      </c>
      <c r="H781" s="71" t="str">
        <f ca="1">IFERROR(__xludf.DUMMYFUNCTION("IF(I788="""","""",FILTER(DATOS!$C$4:$C$237,DATOS!$B$4:$B$237=I788))"),"ENGATIVA")</f>
        <v>ENGATIVA</v>
      </c>
      <c r="I781" s="35" t="s">
        <v>30</v>
      </c>
      <c r="J781" s="36" t="s">
        <v>283</v>
      </c>
      <c r="K781" s="30">
        <v>2881257.5599999996</v>
      </c>
      <c r="L781" s="57"/>
    </row>
    <row r="782" spans="1:12" ht="15.75" customHeight="1">
      <c r="A782" s="214"/>
      <c r="B782" s="228"/>
      <c r="C782" s="228"/>
      <c r="D782" s="228"/>
      <c r="E782" s="228"/>
      <c r="F782" s="228"/>
      <c r="G782" s="71" t="str">
        <f ca="1">IFERROR(__xludf.DUMMYFUNCTION("IF(I789="""","""",FILTER(DATOS!$D$4:$D$237,DATOS!$B$4:$B$237=I789))"),"10-249")</f>
        <v>10-249</v>
      </c>
      <c r="H782" s="71" t="str">
        <f ca="1">IFERROR(__xludf.DUMMYFUNCTION("IF(I789="""","""",FILTER(DATOS!$C$4:$C$237,DATOS!$B$4:$B$237=I789))"),"ENGATIVA")</f>
        <v>ENGATIVA</v>
      </c>
      <c r="I782" s="35" t="s">
        <v>333</v>
      </c>
      <c r="J782" s="36" t="s">
        <v>283</v>
      </c>
      <c r="K782" s="30">
        <v>4191046.0599999996</v>
      </c>
      <c r="L782" s="57"/>
    </row>
    <row r="783" spans="1:12" ht="15.75" customHeight="1">
      <c r="A783" s="214"/>
      <c r="B783" s="228"/>
      <c r="C783" s="228"/>
      <c r="D783" s="228"/>
      <c r="E783" s="228"/>
      <c r="F783" s="228"/>
      <c r="G783" s="71" t="str">
        <f ca="1">IFERROR(__xludf.DUMMYFUNCTION("IF(I790="""","""",FILTER(DATOS!$D$4:$D$237,DATOS!$B$4:$B$237=I790))"),"10-028")</f>
        <v>10-028</v>
      </c>
      <c r="H783" s="71" t="str">
        <f ca="1">IFERROR(__xludf.DUMMYFUNCTION("IF(I790="""","""",FILTER(DATOS!$C$4:$C$237,DATOS!$B$4:$B$237=I790))"),"ENGATIVA")</f>
        <v>ENGATIVA</v>
      </c>
      <c r="I783" s="35" t="s">
        <v>334</v>
      </c>
      <c r="J783" s="36" t="s">
        <v>283</v>
      </c>
      <c r="K783" s="30">
        <v>2875507.7700000005</v>
      </c>
      <c r="L783" s="57"/>
    </row>
    <row r="784" spans="1:12" ht="15.75" customHeight="1">
      <c r="A784" s="214"/>
      <c r="B784" s="228"/>
      <c r="C784" s="228"/>
      <c r="D784" s="228"/>
      <c r="E784" s="228"/>
      <c r="F784" s="228"/>
      <c r="G784" s="71" t="str">
        <f ca="1">IFERROR(__xludf.DUMMYFUNCTION("IF(I791="""","""",FILTER(DATOS!$D$4:$D$237,DATOS!$B$4:$B$237=I791))"),"10-171")</f>
        <v>10-171</v>
      </c>
      <c r="H784" s="71" t="str">
        <f ca="1">IFERROR(__xludf.DUMMYFUNCTION("IF(I791="""","""",FILTER(DATOS!$C$4:$C$237,DATOS!$B$4:$B$237=I791))"),"ENGATIVA")</f>
        <v>ENGATIVA</v>
      </c>
      <c r="I784" s="35" t="s">
        <v>37</v>
      </c>
      <c r="J784" s="36" t="s">
        <v>283</v>
      </c>
      <c r="K784" s="30">
        <v>2882477.19</v>
      </c>
      <c r="L784" s="57"/>
    </row>
    <row r="785" spans="1:12" ht="15.75" customHeight="1">
      <c r="A785" s="214"/>
      <c r="B785" s="228"/>
      <c r="C785" s="228"/>
      <c r="D785" s="228"/>
      <c r="E785" s="228"/>
      <c r="F785" s="228"/>
      <c r="G785" s="71" t="str">
        <f ca="1">IFERROR(__xludf.DUMMYFUNCTION("IF(I792="""","""",FILTER(DATOS!$D$4:$D$237,DATOS!$B$4:$B$237=I792))"),"10-171")</f>
        <v>10-171</v>
      </c>
      <c r="H785" s="71" t="str">
        <f ca="1">IFERROR(__xludf.DUMMYFUNCTION("IF(I792="""","""",FILTER(DATOS!$C$4:$C$237,DATOS!$B$4:$B$237=I792))"),"ENGATIVA")</f>
        <v>ENGATIVA</v>
      </c>
      <c r="I785" s="35" t="s">
        <v>37</v>
      </c>
      <c r="J785" s="36" t="s">
        <v>283</v>
      </c>
      <c r="K785" s="30">
        <v>2882477.19</v>
      </c>
      <c r="L785" s="57"/>
    </row>
    <row r="786" spans="1:12" ht="15.75" customHeight="1">
      <c r="A786" s="214"/>
      <c r="B786" s="228"/>
      <c r="C786" s="228"/>
      <c r="D786" s="228"/>
      <c r="E786" s="228"/>
      <c r="F786" s="228"/>
      <c r="G786" s="71" t="str">
        <f ca="1">IFERROR(__xludf.DUMMYFUNCTION("IF(I793="""","""",FILTER(DATOS!$D$4:$D$237,DATOS!$B$4:$B$237=I793))"),"10-171")</f>
        <v>10-171</v>
      </c>
      <c r="H786" s="71" t="str">
        <f ca="1">IFERROR(__xludf.DUMMYFUNCTION("IF(I793="""","""",FILTER(DATOS!$C$4:$C$237,DATOS!$B$4:$B$237=I793))"),"ENGATIVA")</f>
        <v>ENGATIVA</v>
      </c>
      <c r="I786" s="35" t="s">
        <v>37</v>
      </c>
      <c r="J786" s="36" t="s">
        <v>283</v>
      </c>
      <c r="K786" s="30">
        <v>2868102.73</v>
      </c>
      <c r="L786" s="57"/>
    </row>
    <row r="787" spans="1:12" ht="15.75" customHeight="1">
      <c r="A787" s="214"/>
      <c r="B787" s="228"/>
      <c r="C787" s="228"/>
      <c r="D787" s="228"/>
      <c r="E787" s="228"/>
      <c r="F787" s="228"/>
      <c r="G787" s="71" t="str">
        <f ca="1">IFERROR(__xludf.DUMMYFUNCTION("IF(I794="""","""",FILTER(DATOS!$D$4:$D$237,DATOS!$B$4:$B$237=I794))"),"10-171")</f>
        <v>10-171</v>
      </c>
      <c r="H787" s="71" t="str">
        <f ca="1">IFERROR(__xludf.DUMMYFUNCTION("IF(I794="""","""",FILTER(DATOS!$C$4:$C$237,DATOS!$B$4:$B$237=I794))"),"ENGATIVA")</f>
        <v>ENGATIVA</v>
      </c>
      <c r="I787" s="35" t="s">
        <v>37</v>
      </c>
      <c r="J787" s="36" t="s">
        <v>283</v>
      </c>
      <c r="K787" s="30">
        <v>2868102.73</v>
      </c>
      <c r="L787" s="57"/>
    </row>
    <row r="788" spans="1:12" ht="15.75" customHeight="1">
      <c r="A788" s="214"/>
      <c r="B788" s="228"/>
      <c r="C788" s="228"/>
      <c r="D788" s="228"/>
      <c r="E788" s="228"/>
      <c r="F788" s="228"/>
      <c r="G788" s="71" t="str">
        <f ca="1">IFERROR(__xludf.DUMMYFUNCTION("IF(I795="""","""",FILTER(DATOS!$D$4:$D$237,DATOS!$B$4:$B$237=I795))"),"10-171")</f>
        <v>10-171</v>
      </c>
      <c r="H788" s="71" t="str">
        <f ca="1">IFERROR(__xludf.DUMMYFUNCTION("IF(I795="""","""",FILTER(DATOS!$C$4:$C$237,DATOS!$B$4:$B$237=I795))"),"ENGATIVA")</f>
        <v>ENGATIVA</v>
      </c>
      <c r="I788" s="35" t="s">
        <v>37</v>
      </c>
      <c r="J788" s="36" t="s">
        <v>283</v>
      </c>
      <c r="K788" s="30">
        <v>2868102.73</v>
      </c>
      <c r="L788" s="57"/>
    </row>
    <row r="789" spans="1:12" ht="15.75" customHeight="1">
      <c r="A789" s="214"/>
      <c r="B789" s="228"/>
      <c r="C789" s="228"/>
      <c r="D789" s="228"/>
      <c r="E789" s="228"/>
      <c r="F789" s="228"/>
      <c r="G789" s="71" t="str">
        <f ca="1">IFERROR(__xludf.DUMMYFUNCTION("IF(I796="""","""",FILTER(DATOS!$D$4:$D$237,DATOS!$B$4:$B$237=I796))"),"10-171")</f>
        <v>10-171</v>
      </c>
      <c r="H789" s="71" t="str">
        <f ca="1">IFERROR(__xludf.DUMMYFUNCTION("IF(I796="""","""",FILTER(DATOS!$C$4:$C$237,DATOS!$B$4:$B$237=I796))"),"ENGATIVA")</f>
        <v>ENGATIVA</v>
      </c>
      <c r="I789" s="35" t="s">
        <v>37</v>
      </c>
      <c r="J789" s="36" t="s">
        <v>283</v>
      </c>
      <c r="K789" s="30">
        <v>2868102.73</v>
      </c>
      <c r="L789" s="57"/>
    </row>
    <row r="790" spans="1:12" ht="15.75" customHeight="1">
      <c r="A790" s="214"/>
      <c r="B790" s="228"/>
      <c r="C790" s="228"/>
      <c r="D790" s="228"/>
      <c r="E790" s="228"/>
      <c r="F790" s="228"/>
      <c r="G790" s="71" t="str">
        <f ca="1">IFERROR(__xludf.DUMMYFUNCTION("IF(I797="""","""",FILTER(DATOS!$D$4:$D$237,DATOS!$B$4:$B$237=I797))"),"10-045")</f>
        <v>10-045</v>
      </c>
      <c r="H790" s="71" t="str">
        <f ca="1">IFERROR(__xludf.DUMMYFUNCTION("IF(I797="""","""",FILTER(DATOS!$C$4:$C$237,DATOS!$B$4:$B$237=I797))"),"ENGATIVA")</f>
        <v>ENGATIVA</v>
      </c>
      <c r="I790" s="35" t="s">
        <v>335</v>
      </c>
      <c r="J790" s="36" t="s">
        <v>283</v>
      </c>
      <c r="K790" s="30">
        <v>2873765.4000000004</v>
      </c>
      <c r="L790" s="57"/>
    </row>
    <row r="791" spans="1:12" ht="15.75" customHeight="1">
      <c r="A791" s="214"/>
      <c r="B791" s="228"/>
      <c r="C791" s="228"/>
      <c r="D791" s="228"/>
      <c r="E791" s="228"/>
      <c r="F791" s="228"/>
      <c r="G791" s="71" t="str">
        <f ca="1">IFERROR(__xludf.DUMMYFUNCTION("IF(I798="""","""",FILTER(DATOS!$D$4:$D$237,DATOS!$B$4:$B$237=I798))"),"10-045")</f>
        <v>10-045</v>
      </c>
      <c r="H791" s="71" t="str">
        <f ca="1">IFERROR(__xludf.DUMMYFUNCTION("IF(I798="""","""",FILTER(DATOS!$C$4:$C$237,DATOS!$B$4:$B$237=I798))"),"ENGATIVA")</f>
        <v>ENGATIVA</v>
      </c>
      <c r="I791" s="35" t="s">
        <v>335</v>
      </c>
      <c r="J791" s="36" t="s">
        <v>283</v>
      </c>
      <c r="K791" s="30">
        <v>573228.52</v>
      </c>
      <c r="L791" s="57"/>
    </row>
    <row r="792" spans="1:12" ht="15.75" customHeight="1">
      <c r="A792" s="214"/>
      <c r="B792" s="228"/>
      <c r="C792" s="228"/>
      <c r="D792" s="228"/>
      <c r="E792" s="228"/>
      <c r="F792" s="228"/>
      <c r="G792" s="71" t="str">
        <f ca="1">IFERROR(__xludf.DUMMYFUNCTION("IF(I799="""","""",FILTER(DATOS!$D$4:$D$237,DATOS!$B$4:$B$237=I799))"),"10-190")</f>
        <v>10-190</v>
      </c>
      <c r="H792" s="71" t="str">
        <f ca="1">IFERROR(__xludf.DUMMYFUNCTION("IF(I799="""","""",FILTER(DATOS!$C$4:$C$237,DATOS!$B$4:$B$237=I799))"),"ENGATIVA")</f>
        <v>ENGATIVA</v>
      </c>
      <c r="I792" s="35" t="s">
        <v>336</v>
      </c>
      <c r="J792" s="36" t="s">
        <v>283</v>
      </c>
      <c r="K792" s="30">
        <v>2912097.31</v>
      </c>
      <c r="L792" s="57"/>
    </row>
    <row r="793" spans="1:12" ht="15.75" customHeight="1">
      <c r="A793" s="214"/>
      <c r="B793" s="228"/>
      <c r="C793" s="228"/>
      <c r="D793" s="228"/>
      <c r="E793" s="228"/>
      <c r="F793" s="228"/>
      <c r="G793" s="71" t="str">
        <f ca="1">IFERROR(__xludf.DUMMYFUNCTION("IF(I800="""","""",FILTER(DATOS!$D$4:$D$237,DATOS!$B$4:$B$237=I800))"),"10-531")</f>
        <v>10-531</v>
      </c>
      <c r="H793" s="71" t="str">
        <f ca="1">IFERROR(__xludf.DUMMYFUNCTION("IF(I800="""","""",FILTER(DATOS!$C$4:$C$237,DATOS!$B$4:$B$237=I800))"),"ENGATIVA")</f>
        <v>ENGATIVA</v>
      </c>
      <c r="I793" s="35" t="s">
        <v>52</v>
      </c>
      <c r="J793" s="36" t="s">
        <v>283</v>
      </c>
      <c r="K793" s="30">
        <v>2962176.9</v>
      </c>
      <c r="L793" s="57"/>
    </row>
    <row r="794" spans="1:12" ht="15.75" customHeight="1">
      <c r="A794" s="214"/>
      <c r="B794" s="228"/>
      <c r="C794" s="228"/>
      <c r="D794" s="228"/>
      <c r="E794" s="228"/>
      <c r="F794" s="228"/>
      <c r="G794" s="71" t="str">
        <f ca="1">IFERROR(__xludf.DUMMYFUNCTION("IF(I801="""","""",FILTER(DATOS!$D$4:$D$237,DATOS!$B$4:$B$237=I801))"),"10-234")</f>
        <v>10-234</v>
      </c>
      <c r="H794" s="71" t="str">
        <f ca="1">IFERROR(__xludf.DUMMYFUNCTION("IF(I801="""","""",FILTER(DATOS!$C$4:$C$237,DATOS!$B$4:$B$237=I801))"),"ENGATIVA")</f>
        <v>ENGATIVA</v>
      </c>
      <c r="I794" s="35" t="s">
        <v>56</v>
      </c>
      <c r="J794" s="36" t="s">
        <v>283</v>
      </c>
      <c r="K794" s="30">
        <v>2922115.87</v>
      </c>
      <c r="L794" s="57"/>
    </row>
    <row r="795" spans="1:12" ht="15.75" customHeight="1">
      <c r="A795" s="214"/>
      <c r="B795" s="228"/>
      <c r="C795" s="228"/>
      <c r="D795" s="228"/>
      <c r="E795" s="228"/>
      <c r="F795" s="228"/>
      <c r="G795" s="71" t="str">
        <f ca="1">IFERROR(__xludf.DUMMYFUNCTION("IF(I802="""","""",FILTER(DATOS!$D$4:$D$237,DATOS!$B$4:$B$237=I802))"),"10-234")</f>
        <v>10-234</v>
      </c>
      <c r="H795" s="71" t="str">
        <f ca="1">IFERROR(__xludf.DUMMYFUNCTION("IF(I802="""","""",FILTER(DATOS!$C$4:$C$237,DATOS!$B$4:$B$237=I802))"),"ENGATIVA")</f>
        <v>ENGATIVA</v>
      </c>
      <c r="I795" s="35" t="s">
        <v>56</v>
      </c>
      <c r="J795" s="36" t="s">
        <v>283</v>
      </c>
      <c r="K795" s="30">
        <v>2882607.87</v>
      </c>
      <c r="L795" s="57"/>
    </row>
    <row r="796" spans="1:12" ht="15.75" customHeight="1">
      <c r="A796" s="214"/>
      <c r="B796" s="228"/>
      <c r="C796" s="228"/>
      <c r="D796" s="228"/>
      <c r="E796" s="228"/>
      <c r="F796" s="228"/>
      <c r="G796" s="71" t="str">
        <f ca="1">IFERROR(__xludf.DUMMYFUNCTION("IF(I803="""","""",FILTER(DATOS!$D$4:$D$237,DATOS!$B$4:$B$237=I803))"),"10-290")</f>
        <v>10-290</v>
      </c>
      <c r="H796" s="71" t="str">
        <f ca="1">IFERROR(__xludf.DUMMYFUNCTION("IF(I803="""","""",FILTER(DATOS!$C$4:$C$237,DATOS!$B$4:$B$237=I803))"),"ENGATIVA")</f>
        <v>ENGATIVA</v>
      </c>
      <c r="I796" s="35" t="s">
        <v>62</v>
      </c>
      <c r="J796" s="36" t="s">
        <v>318</v>
      </c>
      <c r="K796" s="30">
        <v>5203579.0999999996</v>
      </c>
      <c r="L796" s="57"/>
    </row>
    <row r="797" spans="1:12" ht="15.75" customHeight="1">
      <c r="A797" s="214"/>
      <c r="B797" s="228"/>
      <c r="C797" s="228"/>
      <c r="D797" s="228"/>
      <c r="E797" s="228"/>
      <c r="F797" s="228"/>
      <c r="G797" s="71" t="str">
        <f ca="1">IFERROR(__xludf.DUMMYFUNCTION("IF(I804="""","""",FILTER(DATOS!$D$4:$D$237,DATOS!$B$4:$B$237=I804))"),"10-102")</f>
        <v>10-102</v>
      </c>
      <c r="H797" s="71" t="str">
        <f ca="1">IFERROR(__xludf.DUMMYFUNCTION("IF(I804="""","""",FILTER(DATOS!$C$4:$C$237,DATOS!$B$4:$B$237=I804))"),"ENGATIVA")</f>
        <v>ENGATIVA</v>
      </c>
      <c r="I797" s="35" t="s">
        <v>65</v>
      </c>
      <c r="J797" s="36" t="s">
        <v>332</v>
      </c>
      <c r="K797" s="30">
        <v>2918413.3899999997</v>
      </c>
      <c r="L797" s="57"/>
    </row>
    <row r="798" spans="1:12" ht="15.75" customHeight="1">
      <c r="A798" s="214"/>
      <c r="B798" s="228"/>
      <c r="C798" s="228"/>
      <c r="D798" s="228"/>
      <c r="E798" s="228"/>
      <c r="F798" s="228"/>
      <c r="G798" s="71" t="str">
        <f ca="1">IFERROR(__xludf.DUMMYFUNCTION("IF(I805="""","""",FILTER(DATOS!$D$4:$D$237,DATOS!$B$4:$B$237=I805))"),"10-018")</f>
        <v>10-018</v>
      </c>
      <c r="H798" s="71" t="str">
        <f ca="1">IFERROR(__xludf.DUMMYFUNCTION("IF(I805="""","""",FILTER(DATOS!$C$4:$C$237,DATOS!$B$4:$B$237=I805))"),"ENGATIVA")</f>
        <v>ENGATIVA</v>
      </c>
      <c r="I798" s="35" t="s">
        <v>64</v>
      </c>
      <c r="J798" s="36" t="s">
        <v>283</v>
      </c>
      <c r="K798" s="30">
        <v>2915102.88</v>
      </c>
      <c r="L798" s="57"/>
    </row>
    <row r="799" spans="1:12" ht="15.75" customHeight="1">
      <c r="A799" s="214"/>
      <c r="B799" s="228"/>
      <c r="C799" s="228"/>
      <c r="D799" s="228"/>
      <c r="E799" s="228"/>
      <c r="F799" s="228"/>
      <c r="G799" s="71" t="str">
        <f ca="1">IFERROR(__xludf.DUMMYFUNCTION("IF(I806="""","""",FILTER(DATOS!$D$4:$D$237,DATOS!$B$4:$B$237=I806))"),"10-018")</f>
        <v>10-018</v>
      </c>
      <c r="H799" s="71" t="str">
        <f ca="1">IFERROR(__xludf.DUMMYFUNCTION("IF(I806="""","""",FILTER(DATOS!$C$4:$C$237,DATOS!$B$4:$B$237=I806))"),"ENGATIVA")</f>
        <v>ENGATIVA</v>
      </c>
      <c r="I799" s="35" t="s">
        <v>64</v>
      </c>
      <c r="J799" s="36" t="s">
        <v>283</v>
      </c>
      <c r="K799" s="30">
        <v>2882477.19</v>
      </c>
      <c r="L799" s="57"/>
    </row>
    <row r="800" spans="1:12" ht="15.75" customHeight="1">
      <c r="A800" s="214"/>
      <c r="B800" s="228"/>
      <c r="C800" s="228"/>
      <c r="D800" s="228"/>
      <c r="E800" s="228"/>
      <c r="F800" s="228"/>
      <c r="G800" s="71" t="str">
        <f ca="1">IFERROR(__xludf.DUMMYFUNCTION("IF(I807="""","""",FILTER(DATOS!$D$4:$D$237,DATOS!$B$4:$B$237=I807))"),"10-002")</f>
        <v>10-002</v>
      </c>
      <c r="H800" s="71" t="str">
        <f ca="1">IFERROR(__xludf.DUMMYFUNCTION("IF(I807="""","""",FILTER(DATOS!$C$4:$C$237,DATOS!$B$4:$B$237=I807))"),"ENGATIVA")</f>
        <v>ENGATIVA</v>
      </c>
      <c r="I800" s="35" t="s">
        <v>337</v>
      </c>
      <c r="J800" s="36" t="s">
        <v>283</v>
      </c>
      <c r="K800" s="30">
        <v>2878121.29</v>
      </c>
      <c r="L800" s="57"/>
    </row>
    <row r="801" spans="1:12" ht="15.75" customHeight="1">
      <c r="A801" s="214"/>
      <c r="B801" s="228"/>
      <c r="C801" s="228"/>
      <c r="D801" s="228"/>
      <c r="E801" s="228"/>
      <c r="F801" s="228"/>
      <c r="G801" s="71" t="str">
        <f ca="1">IFERROR(__xludf.DUMMYFUNCTION("IF(I808="""","""",FILTER(DATOS!$D$4:$D$237,DATOS!$B$4:$B$237=I808))"),"09-048")</f>
        <v>09-048</v>
      </c>
      <c r="H801" s="71" t="str">
        <f ca="1">IFERROR(__xludf.DUMMYFUNCTION("IF(I808="""","""",FILTER(DATOS!$C$4:$C$237,DATOS!$B$4:$B$237=I808))"),"FONTIBON")</f>
        <v>FONTIBON</v>
      </c>
      <c r="I801" s="35" t="s">
        <v>338</v>
      </c>
      <c r="J801" s="36" t="s">
        <v>318</v>
      </c>
      <c r="K801" s="30">
        <v>5677486.8799999999</v>
      </c>
      <c r="L801" s="57"/>
    </row>
    <row r="802" spans="1:12" ht="15.75" customHeight="1">
      <c r="A802" s="214"/>
      <c r="B802" s="228"/>
      <c r="C802" s="228"/>
      <c r="D802" s="228"/>
      <c r="E802" s="228"/>
      <c r="F802" s="228"/>
      <c r="G802" s="71" t="str">
        <f ca="1">IFERROR(__xludf.DUMMYFUNCTION("IF(I809="""","""",FILTER(DATOS!$D$4:$D$237,DATOS!$B$4:$B$237=I809))"),"09-016")</f>
        <v>09-016</v>
      </c>
      <c r="H802" s="71" t="str">
        <f ca="1">IFERROR(__xludf.DUMMYFUNCTION("IF(I809="""","""",FILTER(DATOS!$C$4:$C$237,DATOS!$B$4:$B$237=I809))"),"FONTIBON")</f>
        <v>FONTIBON</v>
      </c>
      <c r="I802" s="35" t="s">
        <v>339</v>
      </c>
      <c r="J802" s="36" t="s">
        <v>283</v>
      </c>
      <c r="K802" s="30">
        <v>2875507.7700000005</v>
      </c>
      <c r="L802" s="57"/>
    </row>
    <row r="803" spans="1:12" ht="15.75" customHeight="1">
      <c r="A803" s="214"/>
      <c r="B803" s="228"/>
      <c r="C803" s="228"/>
      <c r="D803" s="228"/>
      <c r="E803" s="228"/>
      <c r="F803" s="228"/>
      <c r="G803" s="71" t="str">
        <f ca="1">IFERROR(__xludf.DUMMYFUNCTION("IF(I810="""","""",FILTER(DATOS!$D$4:$D$237,DATOS!$B$4:$B$237=I810))"),"09-200")</f>
        <v>09-200</v>
      </c>
      <c r="H803" s="71" t="str">
        <f ca="1">IFERROR(__xludf.DUMMYFUNCTION("IF(I810="""","""",FILTER(DATOS!$C$4:$C$237,DATOS!$B$4:$B$237=I810))"),"FONTIBON")</f>
        <v>FONTIBON</v>
      </c>
      <c r="I803" s="35" t="s">
        <v>340</v>
      </c>
      <c r="J803" s="36" t="s">
        <v>283</v>
      </c>
      <c r="K803" s="30">
        <v>2897069.46</v>
      </c>
      <c r="L803" s="57"/>
    </row>
    <row r="804" spans="1:12" ht="15.75" customHeight="1">
      <c r="A804" s="214"/>
      <c r="B804" s="228"/>
      <c r="C804" s="228"/>
      <c r="D804" s="228"/>
      <c r="E804" s="228"/>
      <c r="F804" s="228"/>
      <c r="G804" s="71" t="str">
        <f ca="1">IFERROR(__xludf.DUMMYFUNCTION("IF(I811="""","""",FILTER(DATOS!$D$4:$D$237,DATOS!$B$4:$B$237=I811))"),"09-200")</f>
        <v>09-200</v>
      </c>
      <c r="H804" s="71" t="str">
        <f ca="1">IFERROR(__xludf.DUMMYFUNCTION("IF(I811="""","""",FILTER(DATOS!$C$4:$C$237,DATOS!$B$4:$B$237=I811))"),"FONTIBON")</f>
        <v>FONTIBON</v>
      </c>
      <c r="I804" s="35" t="s">
        <v>340</v>
      </c>
      <c r="J804" s="36" t="s">
        <v>283</v>
      </c>
      <c r="K804" s="30">
        <v>2877685.71</v>
      </c>
      <c r="L804" s="57"/>
    </row>
    <row r="805" spans="1:12" ht="15.75" customHeight="1">
      <c r="A805" s="214"/>
      <c r="B805" s="228"/>
      <c r="C805" s="228"/>
      <c r="D805" s="228"/>
      <c r="E805" s="228"/>
      <c r="F805" s="228"/>
      <c r="G805" s="71" t="str">
        <f ca="1">IFERROR(__xludf.DUMMYFUNCTION("IF(I812="""","""",FILTER(DATOS!$D$4:$D$237,DATOS!$B$4:$B$237=I812))"),"09-026")</f>
        <v>09-026</v>
      </c>
      <c r="H805" s="71" t="str">
        <f ca="1">IFERROR(__xludf.DUMMYFUNCTION("IF(I812="""","""",FILTER(DATOS!$C$4:$C$237,DATOS!$B$4:$B$237=I812))"),"FONTIBON")</f>
        <v>FONTIBON</v>
      </c>
      <c r="I805" s="35" t="s">
        <v>341</v>
      </c>
      <c r="J805" s="36" t="s">
        <v>306</v>
      </c>
      <c r="K805" s="30">
        <v>5297154.05</v>
      </c>
      <c r="L805" s="57"/>
    </row>
    <row r="806" spans="1:12" ht="15.75" customHeight="1">
      <c r="A806" s="214"/>
      <c r="B806" s="228"/>
      <c r="C806" s="228"/>
      <c r="D806" s="228"/>
      <c r="E806" s="228"/>
      <c r="F806" s="228"/>
      <c r="G806" s="71" t="str">
        <f ca="1">IFERROR(__xludf.DUMMYFUNCTION("IF(I813="""","""",FILTER(DATOS!$D$4:$D$237,DATOS!$B$4:$B$237=I813))"),"08-127")</f>
        <v>08-127</v>
      </c>
      <c r="H806" s="71" t="str">
        <f ca="1">IFERROR(__xludf.DUMMYFUNCTION("IF(I813="""","""",FILTER(DATOS!$C$4:$C$237,DATOS!$B$4:$B$237=I813))"),"KENNEDY")</f>
        <v>KENNEDY</v>
      </c>
      <c r="I806" s="35" t="s">
        <v>342</v>
      </c>
      <c r="J806" s="36" t="s">
        <v>283</v>
      </c>
      <c r="K806" s="30">
        <v>2326018.8899999997</v>
      </c>
      <c r="L806" s="57"/>
    </row>
    <row r="807" spans="1:12" ht="15.75" customHeight="1">
      <c r="A807" s="214"/>
      <c r="B807" s="228"/>
      <c r="C807" s="228"/>
      <c r="D807" s="228"/>
      <c r="E807" s="228"/>
      <c r="F807" s="228"/>
      <c r="G807" s="71" t="str">
        <f ca="1">IFERROR(__xludf.DUMMYFUNCTION("IF(I814="""","""",FILTER(DATOS!$D$4:$D$237,DATOS!$B$4:$B$237=I814))"),"08-040")</f>
        <v>08-040</v>
      </c>
      <c r="H807" s="71" t="str">
        <f ca="1">IFERROR(__xludf.DUMMYFUNCTION("IF(I814="""","""",FILTER(DATOS!$C$4:$C$237,DATOS!$B$4:$B$237=I814))"),"KENNEDY")</f>
        <v>KENNEDY</v>
      </c>
      <c r="I807" s="35" t="s">
        <v>343</v>
      </c>
      <c r="J807" s="36" t="s">
        <v>283</v>
      </c>
      <c r="K807" s="30">
        <v>2344313.6999999997</v>
      </c>
      <c r="L807" s="57"/>
    </row>
    <row r="808" spans="1:12" ht="15.75" customHeight="1">
      <c r="A808" s="214"/>
      <c r="B808" s="228"/>
      <c r="C808" s="228"/>
      <c r="D808" s="228"/>
      <c r="E808" s="228"/>
      <c r="F808" s="228"/>
      <c r="G808" s="71" t="str">
        <f ca="1">IFERROR(__xludf.DUMMYFUNCTION("IF(I815="""","""",FILTER(DATOS!$D$4:$D$237,DATOS!$B$4:$B$237=I815))"),"08-200")</f>
        <v>08-200</v>
      </c>
      <c r="H808" s="71" t="str">
        <f ca="1">IFERROR(__xludf.DUMMYFUNCTION("IF(I815="""","""",FILTER(DATOS!$C$4:$C$237,DATOS!$B$4:$B$237=I815))"),"KENNEDY")</f>
        <v>KENNEDY</v>
      </c>
      <c r="I808" s="35" t="s">
        <v>77</v>
      </c>
      <c r="J808" s="36" t="s">
        <v>344</v>
      </c>
      <c r="K808" s="30">
        <v>2969093.1500000004</v>
      </c>
      <c r="L808" s="57"/>
    </row>
    <row r="809" spans="1:12" ht="15.75" customHeight="1">
      <c r="A809" s="214"/>
      <c r="B809" s="228"/>
      <c r="C809" s="228"/>
      <c r="D809" s="228"/>
      <c r="E809" s="228"/>
      <c r="F809" s="228"/>
      <c r="G809" s="71" t="str">
        <f ca="1">IFERROR(__xludf.DUMMYFUNCTION("IF(I816="""","""",FILTER(DATOS!$D$4:$D$237,DATOS!$B$4:$B$237=I816))"),"08-241")</f>
        <v>08-241</v>
      </c>
      <c r="H809" s="71" t="str">
        <f ca="1">IFERROR(__xludf.DUMMYFUNCTION("IF(I816="""","""",FILTER(DATOS!$C$4:$C$237,DATOS!$B$4:$B$237=I816))"),"KENNEDY")</f>
        <v>KENNEDY</v>
      </c>
      <c r="I809" s="35" t="s">
        <v>78</v>
      </c>
      <c r="J809" s="36" t="s">
        <v>306</v>
      </c>
      <c r="K809" s="30">
        <v>5727993.9000000004</v>
      </c>
      <c r="L809" s="57"/>
    </row>
    <row r="810" spans="1:12" ht="15.75" customHeight="1">
      <c r="A810" s="214"/>
      <c r="B810" s="228"/>
      <c r="C810" s="228"/>
      <c r="D810" s="228"/>
      <c r="E810" s="228"/>
      <c r="F810" s="228"/>
      <c r="G810" s="71" t="str">
        <f ca="1">IFERROR(__xludf.DUMMYFUNCTION("IF(I817="""","""",FILTER(DATOS!$D$4:$D$237,DATOS!$B$4:$B$237=I817))"),"08-144")</f>
        <v>08-144</v>
      </c>
      <c r="H810" s="71" t="str">
        <f ca="1">IFERROR(__xludf.DUMMYFUNCTION("IF(I817="""","""",FILTER(DATOS!$C$4:$C$237,DATOS!$B$4:$B$237=I817))"),"KENNEDY")</f>
        <v>KENNEDY</v>
      </c>
      <c r="I810" s="35" t="s">
        <v>81</v>
      </c>
      <c r="J810" s="36" t="s">
        <v>283</v>
      </c>
      <c r="K810" s="30">
        <v>2327761.2800000003</v>
      </c>
      <c r="L810" s="57"/>
    </row>
    <row r="811" spans="1:12" ht="15.75" customHeight="1">
      <c r="A811" s="214"/>
      <c r="B811" s="228"/>
      <c r="C811" s="228"/>
      <c r="D811" s="228"/>
      <c r="E811" s="228"/>
      <c r="F811" s="228"/>
      <c r="G811" s="71" t="str">
        <f ca="1">IFERROR(__xludf.DUMMYFUNCTION("IF(I818="""","""",FILTER(DATOS!$D$4:$D$237,DATOS!$B$4:$B$237=I818))"),"08-552")</f>
        <v>08-552</v>
      </c>
      <c r="H811" s="71" t="str">
        <f ca="1">IFERROR(__xludf.DUMMYFUNCTION("IF(I818="""","""",FILTER(DATOS!$C$4:$C$237,DATOS!$B$4:$B$237=I818))"),"KENNEDY")</f>
        <v>KENNEDY</v>
      </c>
      <c r="I811" s="35" t="s">
        <v>97</v>
      </c>
      <c r="J811" s="36" t="s">
        <v>283</v>
      </c>
      <c r="K811" s="30">
        <v>2345620.44</v>
      </c>
      <c r="L811" s="57"/>
    </row>
    <row r="812" spans="1:12" ht="15.75" customHeight="1">
      <c r="A812" s="214"/>
      <c r="B812" s="228"/>
      <c r="C812" s="228"/>
      <c r="D812" s="228"/>
      <c r="E812" s="228"/>
      <c r="F812" s="228"/>
      <c r="G812" s="71" t="str">
        <f ca="1">IFERROR(__xludf.DUMMYFUNCTION("IF(I819="""","""",FILTER(DATOS!$D$4:$D$237,DATOS!$B$4:$B$237=I819))"),"08-552")</f>
        <v>08-552</v>
      </c>
      <c r="H812" s="71" t="str">
        <f ca="1">IFERROR(__xludf.DUMMYFUNCTION("IF(I819="""","""",FILTER(DATOS!$C$4:$C$237,DATOS!$B$4:$B$237=I819))"),"KENNEDY")</f>
        <v>KENNEDY</v>
      </c>
      <c r="I812" s="35" t="s">
        <v>97</v>
      </c>
      <c r="J812" s="36" t="s">
        <v>283</v>
      </c>
      <c r="K812" s="30">
        <v>2303803.83</v>
      </c>
      <c r="L812" s="57"/>
    </row>
    <row r="813" spans="1:12" ht="15.75" customHeight="1">
      <c r="A813" s="214"/>
      <c r="B813" s="228"/>
      <c r="C813" s="228"/>
      <c r="D813" s="228"/>
      <c r="E813" s="228"/>
      <c r="F813" s="228"/>
      <c r="G813" s="71" t="str">
        <f ca="1">IFERROR(__xludf.DUMMYFUNCTION("IF(I820="""","""",FILTER(DATOS!$D$4:$D$237,DATOS!$B$4:$B$237=I820))"),"08-552")</f>
        <v>08-552</v>
      </c>
      <c r="H813" s="71" t="str">
        <f ca="1">IFERROR(__xludf.DUMMYFUNCTION("IF(I820="""","""",FILTER(DATOS!$C$4:$C$237,DATOS!$B$4:$B$237=I820))"),"KENNEDY")</f>
        <v>KENNEDY</v>
      </c>
      <c r="I813" s="35" t="s">
        <v>97</v>
      </c>
      <c r="J813" s="36" t="s">
        <v>283</v>
      </c>
      <c r="K813" s="30">
        <v>2303803.83</v>
      </c>
      <c r="L813" s="57"/>
    </row>
    <row r="814" spans="1:12" ht="15.75" customHeight="1">
      <c r="A814" s="214"/>
      <c r="B814" s="228"/>
      <c r="C814" s="228"/>
      <c r="D814" s="228"/>
      <c r="E814" s="228"/>
      <c r="F814" s="228"/>
      <c r="G814" s="71" t="str">
        <f ca="1">IFERROR(__xludf.DUMMYFUNCTION("IF(I821="""","""",FILTER(DATOS!$D$4:$D$237,DATOS!$B$4:$B$237=I821))"),"08-552")</f>
        <v>08-552</v>
      </c>
      <c r="H814" s="71" t="str">
        <f ca="1">IFERROR(__xludf.DUMMYFUNCTION("IF(I821="""","""",FILTER(DATOS!$C$4:$C$237,DATOS!$B$4:$B$237=I821))"),"KENNEDY")</f>
        <v>KENNEDY</v>
      </c>
      <c r="I814" s="35" t="s">
        <v>97</v>
      </c>
      <c r="J814" s="36" t="s">
        <v>283</v>
      </c>
      <c r="K814" s="30">
        <v>2313386.7599999998</v>
      </c>
      <c r="L814" s="57"/>
    </row>
    <row r="815" spans="1:12" ht="15.75" customHeight="1">
      <c r="A815" s="214"/>
      <c r="B815" s="228"/>
      <c r="C815" s="228"/>
      <c r="D815" s="228"/>
      <c r="E815" s="228"/>
      <c r="F815" s="228"/>
      <c r="G815" s="71" t="str">
        <f ca="1">IFERROR(__xludf.DUMMYFUNCTION("IF(I822="""","""",FILTER(DATOS!$D$4:$D$237,DATOS!$B$4:$B$237=I822))"),"08-552")</f>
        <v>08-552</v>
      </c>
      <c r="H815" s="71" t="str">
        <f ca="1">IFERROR(__xludf.DUMMYFUNCTION("IF(I822="""","""",FILTER(DATOS!$C$4:$C$237,DATOS!$B$4:$B$237=I822))"),"KENNEDY")</f>
        <v>KENNEDY</v>
      </c>
      <c r="I815" s="35" t="s">
        <v>97</v>
      </c>
      <c r="J815" s="36" t="s">
        <v>283</v>
      </c>
      <c r="K815" s="30">
        <v>2285118.42</v>
      </c>
      <c r="L815" s="57"/>
    </row>
    <row r="816" spans="1:12" ht="15.75" customHeight="1">
      <c r="A816" s="214"/>
      <c r="B816" s="228"/>
      <c r="C816" s="228"/>
      <c r="D816" s="228"/>
      <c r="E816" s="228"/>
      <c r="F816" s="228"/>
      <c r="G816" s="71" t="str">
        <f ca="1">IFERROR(__xludf.DUMMYFUNCTION("IF(I823="""","""",FILTER(DATOS!$D$4:$D$237,DATOS!$B$4:$B$237=I823))"),"08-568")</f>
        <v>08-568</v>
      </c>
      <c r="H816" s="71" t="str">
        <f ca="1">IFERROR(__xludf.DUMMYFUNCTION("IF(I823="""","""",FILTER(DATOS!$C$4:$C$237,DATOS!$B$4:$B$237=I823))"),"KENNEDY")</f>
        <v>KENNEDY</v>
      </c>
      <c r="I816" s="35" t="s">
        <v>345</v>
      </c>
      <c r="J816" s="36" t="s">
        <v>283</v>
      </c>
      <c r="K816" s="30">
        <v>2308159.71</v>
      </c>
      <c r="L816" s="57"/>
    </row>
    <row r="817" spans="1:12" ht="15.75" customHeight="1">
      <c r="A817" s="214"/>
      <c r="B817" s="228"/>
      <c r="C817" s="228"/>
      <c r="D817" s="228"/>
      <c r="E817" s="228"/>
      <c r="F817" s="228"/>
      <c r="G817" s="71" t="str">
        <f ca="1">IFERROR(__xludf.DUMMYFUNCTION("IF(I824="""","""",FILTER(DATOS!$D$4:$D$237,DATOS!$B$4:$B$237=I824))"),"08-212")</f>
        <v>08-212</v>
      </c>
      <c r="H817" s="71" t="str">
        <f ca="1">IFERROR(__xludf.DUMMYFUNCTION("IF(I824="""","""",FILTER(DATOS!$C$4:$C$237,DATOS!$B$4:$B$237=I824))"),"KENNEDY")</f>
        <v>KENNEDY</v>
      </c>
      <c r="I817" s="35" t="s">
        <v>106</v>
      </c>
      <c r="J817" s="36" t="s">
        <v>283</v>
      </c>
      <c r="K817" s="30">
        <v>2348887.5</v>
      </c>
      <c r="L817" s="57"/>
    </row>
    <row r="818" spans="1:12" ht="15.75" customHeight="1">
      <c r="A818" s="214"/>
      <c r="B818" s="228"/>
      <c r="C818" s="228"/>
      <c r="D818" s="228"/>
      <c r="E818" s="228"/>
      <c r="F818" s="228"/>
      <c r="G818" s="71" t="str">
        <f ca="1">IFERROR(__xludf.DUMMYFUNCTION("IF(I825="""","""",FILTER(DATOS!$D$4:$D$237,DATOS!$B$4:$B$237=I825))"),"08-626")</f>
        <v>08-626</v>
      </c>
      <c r="H818" s="71" t="str">
        <f ca="1">IFERROR(__xludf.DUMMYFUNCTION("IF(I825="""","""",FILTER(DATOS!$C$4:$C$237,DATOS!$B$4:$B$237=I825))"),"KENNEDY")</f>
        <v>KENNEDY</v>
      </c>
      <c r="I818" s="35" t="s">
        <v>161</v>
      </c>
      <c r="J818" s="36" t="s">
        <v>283</v>
      </c>
      <c r="K818" s="30">
        <v>2311644.44</v>
      </c>
      <c r="L818" s="57"/>
    </row>
    <row r="819" spans="1:12" ht="15.75" customHeight="1">
      <c r="A819" s="214"/>
      <c r="B819" s="228"/>
      <c r="C819" s="228"/>
      <c r="D819" s="228"/>
      <c r="E819" s="228"/>
      <c r="F819" s="228"/>
      <c r="G819" s="71" t="str">
        <f ca="1">IFERROR(__xludf.DUMMYFUNCTION("IF(I826="""","""",FILTER(DATOS!$D$4:$D$237,DATOS!$B$4:$B$237=I826))"),"08-533")</f>
        <v>08-533</v>
      </c>
      <c r="H819" s="71" t="str">
        <f ca="1">IFERROR(__xludf.DUMMYFUNCTION("IF(I826="""","""",FILTER(DATOS!$C$4:$C$237,DATOS!$B$4:$B$237=I826))"),"KENNEDY")</f>
        <v>KENNEDY</v>
      </c>
      <c r="I819" s="35" t="s">
        <v>346</v>
      </c>
      <c r="J819" s="36" t="s">
        <v>283</v>
      </c>
      <c r="K819" s="30">
        <v>2330592.5999999996</v>
      </c>
      <c r="L819" s="57"/>
    </row>
    <row r="820" spans="1:12" ht="15.75" customHeight="1">
      <c r="A820" s="214"/>
      <c r="B820" s="228"/>
      <c r="C820" s="228"/>
      <c r="D820" s="228"/>
      <c r="E820" s="228"/>
      <c r="F820" s="228"/>
      <c r="G820" s="71" t="str">
        <f ca="1">IFERROR(__xludf.DUMMYFUNCTION("IF(I827="""","""",FILTER(DATOS!$D$4:$D$237,DATOS!$B$4:$B$237=I827))"),"08-066")</f>
        <v>08-066</v>
      </c>
      <c r="H820" s="71" t="str">
        <f ca="1">IFERROR(__xludf.DUMMYFUNCTION("IF(I827="""","""",FILTER(DATOS!$C$4:$C$237,DATOS!$B$4:$B$237=I827))"),"KENNEDY")</f>
        <v>KENNEDY</v>
      </c>
      <c r="I820" s="35" t="s">
        <v>110</v>
      </c>
      <c r="J820" s="36" t="s">
        <v>283</v>
      </c>
      <c r="K820" s="30">
        <v>2339086.59</v>
      </c>
      <c r="L820" s="57"/>
    </row>
    <row r="821" spans="1:12" ht="15.75" customHeight="1">
      <c r="A821" s="214"/>
      <c r="B821" s="228"/>
      <c r="C821" s="228"/>
      <c r="D821" s="228"/>
      <c r="E821" s="228"/>
      <c r="F821" s="228"/>
      <c r="G821" s="71" t="str">
        <f ca="1">IFERROR(__xludf.DUMMYFUNCTION("IF(I828="""","""",FILTER(DATOS!$D$4:$D$237,DATOS!$B$4:$B$237=I828))"),"08-066")</f>
        <v>08-066</v>
      </c>
      <c r="H821" s="71" t="str">
        <f ca="1">IFERROR(__xludf.DUMMYFUNCTION("IF(I828="""","""",FILTER(DATOS!$C$4:$C$237,DATOS!$B$4:$B$237=I828))"),"KENNEDY")</f>
        <v>KENNEDY</v>
      </c>
      <c r="I821" s="35" t="s">
        <v>110</v>
      </c>
      <c r="J821" s="36" t="s">
        <v>283</v>
      </c>
      <c r="K821" s="30">
        <v>2311804.17</v>
      </c>
      <c r="L821" s="57"/>
    </row>
    <row r="822" spans="1:12" ht="15.75" customHeight="1">
      <c r="A822" s="214"/>
      <c r="B822" s="228"/>
      <c r="C822" s="228"/>
      <c r="D822" s="228"/>
      <c r="E822" s="228"/>
      <c r="F822" s="228"/>
      <c r="G822" s="71" t="str">
        <f ca="1">IFERROR(__xludf.DUMMYFUNCTION("IF(I830="""","""",FILTER(DATOS!$D$4:$D$237,DATOS!$B$4:$B$237=I830))"),"08-219")</f>
        <v>08-219</v>
      </c>
      <c r="H822" s="71" t="str">
        <f ca="1">IFERROR(__xludf.DUMMYFUNCTION("IF(I830="""","""",FILTER(DATOS!$C$4:$C$237,DATOS!$B$4:$B$237=I830))"),"KENNEDY")</f>
        <v>KENNEDY</v>
      </c>
      <c r="I822" s="35" t="s">
        <v>132</v>
      </c>
      <c r="J822" s="36" t="s">
        <v>283</v>
      </c>
      <c r="K822" s="30">
        <v>2353461.06</v>
      </c>
      <c r="L822" s="57"/>
    </row>
    <row r="823" spans="1:12" ht="15.75" customHeight="1">
      <c r="A823" s="214"/>
      <c r="B823" s="228"/>
      <c r="C823" s="228"/>
      <c r="D823" s="228"/>
      <c r="E823" s="228"/>
      <c r="F823" s="228"/>
      <c r="G823" s="71" t="str">
        <f ca="1">IFERROR(__xludf.DUMMYFUNCTION("IF(I831="""","""",FILTER(DATOS!$D$4:$D$237,DATOS!$B$4:$B$237=I831))"),"08-219")</f>
        <v>08-219</v>
      </c>
      <c r="H823" s="71" t="str">
        <f ca="1">IFERROR(__xludf.DUMMYFUNCTION("IF(I831="""","""",FILTER(DATOS!$C$4:$C$237,DATOS!$B$4:$B$237=I831))"),"KENNEDY")</f>
        <v>KENNEDY</v>
      </c>
      <c r="I823" s="35" t="s">
        <v>132</v>
      </c>
      <c r="J823" s="36" t="s">
        <v>283</v>
      </c>
      <c r="K823" s="30">
        <v>2312951.19</v>
      </c>
      <c r="L823" s="57"/>
    </row>
    <row r="824" spans="1:12" ht="15.75" customHeight="1">
      <c r="A824" s="214"/>
      <c r="B824" s="228"/>
      <c r="C824" s="228"/>
      <c r="D824" s="228"/>
      <c r="E824" s="228"/>
      <c r="F824" s="228"/>
      <c r="G824" s="71" t="str">
        <f ca="1">IFERROR(__xludf.DUMMYFUNCTION("IF(I832="""","""",FILTER(DATOS!$D$4:$D$237,DATOS!$B$4:$B$237=I832))"),"08-180")</f>
        <v>08-180</v>
      </c>
      <c r="H824" s="71" t="str">
        <f ca="1">IFERROR(__xludf.DUMMYFUNCTION("IF(I832="""","""",FILTER(DATOS!$C$4:$C$237,DATOS!$B$4:$B$237=I832))"),"KENNEDY")</f>
        <v>KENNEDY</v>
      </c>
      <c r="I824" s="35" t="s">
        <v>347</v>
      </c>
      <c r="J824" s="36" t="s">
        <v>283</v>
      </c>
      <c r="K824" s="30">
        <v>2312951.19</v>
      </c>
      <c r="L824" s="57"/>
    </row>
    <row r="825" spans="1:12" ht="15.75" customHeight="1">
      <c r="A825" s="214"/>
      <c r="B825" s="228"/>
      <c r="C825" s="228"/>
      <c r="D825" s="228"/>
      <c r="E825" s="228"/>
      <c r="F825" s="228"/>
      <c r="G825" s="71" t="str">
        <f ca="1">IFERROR(__xludf.DUMMYFUNCTION("IF(I833="""","""",FILTER(DATOS!$D$4:$D$237,DATOS!$B$4:$B$237=I833))"),"14-030")</f>
        <v>14-030</v>
      </c>
      <c r="H825" s="71" t="str">
        <f ca="1">IFERROR(__xludf.DUMMYFUNCTION("IF(I833="""","""",FILTER(DATOS!$C$4:$C$237,DATOS!$B$4:$B$237=I833))"),"MARTIRES")</f>
        <v>MARTIRES</v>
      </c>
      <c r="I825" s="35" t="s">
        <v>82</v>
      </c>
      <c r="J825" s="36" t="s">
        <v>283</v>
      </c>
      <c r="K825" s="30">
        <v>2876814.54</v>
      </c>
      <c r="L825" s="57"/>
    </row>
    <row r="826" spans="1:12" ht="15.75" customHeight="1">
      <c r="A826" s="214"/>
      <c r="B826" s="228"/>
      <c r="C826" s="228"/>
      <c r="D826" s="228"/>
      <c r="E826" s="228"/>
      <c r="F826" s="228"/>
      <c r="G826" s="71" t="str">
        <f ca="1">IFERROR(__xludf.DUMMYFUNCTION("IF(I834="""","""",FILTER(DATOS!$D$4:$D$237,DATOS!$B$4:$B$237=I834))"),"14-008")</f>
        <v>14-008</v>
      </c>
      <c r="H826" s="71" t="str">
        <f ca="1">IFERROR(__xludf.DUMMYFUNCTION("IF(I834="""","""",FILTER(DATOS!$C$4:$C$237,DATOS!$B$4:$B$237=I834))"),"MARTIRES")</f>
        <v>MARTIRES</v>
      </c>
      <c r="I826" s="35" t="s">
        <v>348</v>
      </c>
      <c r="J826" s="36" t="s">
        <v>283</v>
      </c>
      <c r="K826" s="30">
        <v>2869569.21</v>
      </c>
      <c r="L826" s="57"/>
    </row>
    <row r="827" spans="1:12" ht="15.75" customHeight="1">
      <c r="A827" s="214"/>
      <c r="B827" s="228"/>
      <c r="C827" s="228"/>
      <c r="D827" s="228"/>
      <c r="E827" s="228"/>
      <c r="F827" s="228"/>
      <c r="G827" s="71" t="str">
        <f ca="1">IFERROR(__xludf.DUMMYFUNCTION("IF(I836="""","""",FILTER(DATOS!$D$4:$D$237,DATOS!$B$4:$B$237=I836))"),"16-126")</f>
        <v>16-126</v>
      </c>
      <c r="H827" s="71" t="str">
        <f ca="1">IFERROR(__xludf.DUMMYFUNCTION("IF(I836="""","""",FILTER(DATOS!$C$4:$C$237,DATOS!$B$4:$B$237=I836))"),"PUENTE ARANDA")</f>
        <v>PUENTE ARANDA</v>
      </c>
      <c r="I827" s="35" t="s">
        <v>349</v>
      </c>
      <c r="J827" s="36" t="s">
        <v>283</v>
      </c>
      <c r="K827" s="30">
        <v>2310860.37</v>
      </c>
      <c r="L827" s="57"/>
    </row>
    <row r="828" spans="1:12" ht="15.75" customHeight="1">
      <c r="A828" s="214"/>
      <c r="B828" s="228"/>
      <c r="C828" s="228"/>
      <c r="D828" s="228"/>
      <c r="E828" s="228"/>
      <c r="F828" s="228"/>
      <c r="G828" s="71" t="str">
        <f ca="1">IFERROR(__xludf.DUMMYFUNCTION("IF(I837="""","""",FILTER(DATOS!$D$4:$D$237,DATOS!$B$4:$B$237=I837))"),"16-204")</f>
        <v>16-204</v>
      </c>
      <c r="H828" s="71" t="str">
        <f ca="1">IFERROR(__xludf.DUMMYFUNCTION("IF(I837="""","""",FILTER(DATOS!$C$4:$C$237,DATOS!$B$4:$B$237=I837))"),"PUENTE ARANDA")</f>
        <v>PUENTE ARANDA</v>
      </c>
      <c r="I828" s="35" t="s">
        <v>83</v>
      </c>
      <c r="J828" s="36" t="s">
        <v>283</v>
      </c>
      <c r="K828" s="30">
        <v>2918195.58</v>
      </c>
      <c r="L828" s="57"/>
    </row>
    <row r="829" spans="1:12" ht="15.75" customHeight="1">
      <c r="A829" s="214"/>
      <c r="B829" s="228"/>
      <c r="C829" s="228"/>
      <c r="D829" s="228"/>
      <c r="E829" s="228"/>
      <c r="F829" s="228"/>
      <c r="G829" s="71" t="str">
        <f ca="1">IFERROR(__xludf.DUMMYFUNCTION("IF(I838="""","""",FILTER(DATOS!$D$4:$D$237,DATOS!$B$4:$B$237=I838))"),"16-099")</f>
        <v>16-099</v>
      </c>
      <c r="H829" s="71" t="str">
        <f ca="1">IFERROR(__xludf.DUMMYFUNCTION("IF(I838="""","""",FILTER(DATOS!$C$4:$C$237,DATOS!$B$4:$B$237=I838))"),"PUENTE ARANDA")</f>
        <v>PUENTE ARANDA</v>
      </c>
      <c r="I829" s="35" t="s">
        <v>112</v>
      </c>
      <c r="J829" s="36" t="s">
        <v>283</v>
      </c>
      <c r="K829" s="30">
        <v>2913839.6999999997</v>
      </c>
      <c r="L829" s="57"/>
    </row>
    <row r="830" spans="1:12" ht="15.75" customHeight="1">
      <c r="A830" s="214"/>
      <c r="B830" s="228"/>
      <c r="C830" s="228"/>
      <c r="D830" s="228"/>
      <c r="E830" s="228"/>
      <c r="F830" s="228"/>
      <c r="G830" s="71" t="str">
        <f ca="1">IFERROR(__xludf.DUMMYFUNCTION("IF(I839="""","""",FILTER(DATOS!$D$4:$D$237,DATOS!$B$4:$B$237=I839))"),"16-112")</f>
        <v>16-112</v>
      </c>
      <c r="H830" s="71" t="str">
        <f ca="1">IFERROR(__xludf.DUMMYFUNCTION("IF(I839="""","""",FILTER(DATOS!$C$4:$C$237,DATOS!$B$4:$B$237=I839))"),"PUENTE ARANDA")</f>
        <v>PUENTE ARANDA</v>
      </c>
      <c r="I830" s="35" t="s">
        <v>79</v>
      </c>
      <c r="J830" s="36" t="s">
        <v>283</v>
      </c>
      <c r="K830" s="30">
        <v>2862875.6399999997</v>
      </c>
      <c r="L830" s="57"/>
    </row>
    <row r="831" spans="1:12" ht="15.75" customHeight="1">
      <c r="A831" s="214"/>
      <c r="B831" s="228"/>
      <c r="C831" s="228"/>
      <c r="D831" s="228"/>
      <c r="E831" s="228"/>
      <c r="F831" s="228"/>
      <c r="G831" s="71" t="str">
        <f ca="1">IFERROR(__xludf.DUMMYFUNCTION("IF(I840="""","""",FILTER(DATOS!$D$4:$D$237,DATOS!$B$4:$B$237=I840))"),"16-112")</f>
        <v>16-112</v>
      </c>
      <c r="H831" s="71" t="str">
        <f ca="1">IFERROR(__xludf.DUMMYFUNCTION("IF(I840="""","""",FILTER(DATOS!$C$4:$C$237,DATOS!$B$4:$B$237=I840))"),"PUENTE ARANDA")</f>
        <v>PUENTE ARANDA</v>
      </c>
      <c r="I831" s="35" t="s">
        <v>79</v>
      </c>
      <c r="J831" s="36" t="s">
        <v>283</v>
      </c>
      <c r="K831" s="30">
        <v>2862875.6399999997</v>
      </c>
      <c r="L831" s="57"/>
    </row>
    <row r="832" spans="1:12" ht="15.75" customHeight="1">
      <c r="A832" s="214"/>
      <c r="B832" s="228"/>
      <c r="C832" s="228"/>
      <c r="D832" s="228"/>
      <c r="E832" s="228"/>
      <c r="F832" s="228"/>
      <c r="G832" s="71" t="str">
        <f ca="1">IFERROR(__xludf.DUMMYFUNCTION("IF(I841="""","""",FILTER(DATOS!$D$4:$D$237,DATOS!$B$4:$B$237=I841))"),"16-416")</f>
        <v>16-416</v>
      </c>
      <c r="H832" s="71" t="str">
        <f ca="1">IFERROR(__xludf.DUMMYFUNCTION("IF(I841="""","""",FILTER(DATOS!$C$4:$C$237,DATOS!$B$4:$B$237=I841))"),"PUENTE ARANDA")</f>
        <v>PUENTE ARANDA</v>
      </c>
      <c r="I832" s="35" t="s">
        <v>49</v>
      </c>
      <c r="J832" s="36" t="s">
        <v>283</v>
      </c>
      <c r="K832" s="30">
        <v>2874200.9699999997</v>
      </c>
      <c r="L832" s="57"/>
    </row>
    <row r="833" spans="1:12" ht="15.75" customHeight="1">
      <c r="A833" s="214"/>
      <c r="B833" s="228"/>
      <c r="C833" s="228"/>
      <c r="D833" s="228"/>
      <c r="E833" s="228"/>
      <c r="F833" s="228"/>
      <c r="G833" s="71" t="str">
        <f ca="1">IFERROR(__xludf.DUMMYFUNCTION("IF(I842="""","""",FILTER(DATOS!$D$4:$D$237,DATOS!$B$4:$B$237=I842))"),"16-416")</f>
        <v>16-416</v>
      </c>
      <c r="H833" s="71" t="str">
        <f ca="1">IFERROR(__xludf.DUMMYFUNCTION("IF(I842="""","""",FILTER(DATOS!$C$4:$C$237,DATOS!$B$4:$B$237=I842))"),"PUENTE ARANDA")</f>
        <v>PUENTE ARANDA</v>
      </c>
      <c r="I833" s="35" t="s">
        <v>49</v>
      </c>
      <c r="J833" s="36" t="s">
        <v>283</v>
      </c>
      <c r="K833" s="30">
        <v>2910354.9699999997</v>
      </c>
      <c r="L833" s="57"/>
    </row>
    <row r="834" spans="1:12" ht="15.75" customHeight="1">
      <c r="A834" s="214"/>
      <c r="B834" s="228"/>
      <c r="C834" s="228"/>
      <c r="D834" s="228"/>
      <c r="E834" s="228"/>
      <c r="F834" s="228"/>
      <c r="G834" s="71" t="str">
        <f ca="1">IFERROR(__xludf.DUMMYFUNCTION("IF(I843="""","""",FILTER(DATOS!$D$4:$D$237,DATOS!$B$4:$B$237=I843))"),"16-153")</f>
        <v>16-153</v>
      </c>
      <c r="H834" s="71" t="str">
        <f ca="1">IFERROR(__xludf.DUMMYFUNCTION("IF(I843="""","""",FILTER(DATOS!$C$4:$C$237,DATOS!$B$4:$B$237=I843))"),"PUENTE ARANDA")</f>
        <v>PUENTE ARANDA</v>
      </c>
      <c r="I834" s="35" t="s">
        <v>350</v>
      </c>
      <c r="J834" s="36" t="s">
        <v>306</v>
      </c>
      <c r="K834" s="30">
        <v>3518098</v>
      </c>
      <c r="L834" s="57"/>
    </row>
    <row r="835" spans="1:12" ht="15.75" customHeight="1">
      <c r="A835" s="214"/>
      <c r="B835" s="228"/>
      <c r="C835" s="228"/>
      <c r="D835" s="228"/>
      <c r="E835" s="228"/>
      <c r="F835" s="228"/>
      <c r="G835" s="71" t="str">
        <f ca="1">IFERROR(__xludf.DUMMYFUNCTION("IF(I844="""","""",FILTER(DATOS!$D$4:$D$237,DATOS!$B$4:$B$237=I844))"),"18-028")</f>
        <v>18-028</v>
      </c>
      <c r="H835" s="71" t="str">
        <f ca="1">IFERROR(__xludf.DUMMYFUNCTION("IF(I844="""","""",FILTER(DATOS!$C$4:$C$237,DATOS!$B$4:$B$237=I844))"),"RAFAEL URIBE")</f>
        <v>RAFAEL URIBE</v>
      </c>
      <c r="I835" s="35" t="s">
        <v>74</v>
      </c>
      <c r="J835" s="36" t="s">
        <v>283</v>
      </c>
      <c r="K835" s="30">
        <v>14262061.390000001</v>
      </c>
      <c r="L835" s="57"/>
    </row>
    <row r="836" spans="1:12" ht="15.75" customHeight="1">
      <c r="A836" s="214"/>
      <c r="B836" s="228"/>
      <c r="C836" s="228"/>
      <c r="D836" s="228"/>
      <c r="E836" s="228"/>
      <c r="F836" s="228"/>
      <c r="G836" s="71" t="str">
        <f ca="1">IFERROR(__xludf.DUMMYFUNCTION("IF(I845="""","""",FILTER(DATOS!$D$4:$D$237,DATOS!$B$4:$B$237=I845))"),"18-041")</f>
        <v>18-041</v>
      </c>
      <c r="H836" s="71" t="str">
        <f ca="1">IFERROR(__xludf.DUMMYFUNCTION("IF(I845="""","""",FILTER(DATOS!$C$4:$C$237,DATOS!$B$4:$B$237=I845))"),"RAFAEL URIBE")</f>
        <v>RAFAEL URIBE</v>
      </c>
      <c r="I836" s="35" t="s">
        <v>351</v>
      </c>
      <c r="J836" s="36" t="s">
        <v>283</v>
      </c>
      <c r="K836" s="30">
        <v>2311644.44</v>
      </c>
      <c r="L836" s="57"/>
    </row>
    <row r="837" spans="1:12" ht="15.75" customHeight="1">
      <c r="A837" s="214"/>
      <c r="B837" s="228"/>
      <c r="C837" s="228"/>
      <c r="D837" s="228"/>
      <c r="E837" s="228"/>
      <c r="F837" s="228"/>
      <c r="G837" s="71" t="str">
        <f ca="1">IFERROR(__xludf.DUMMYFUNCTION("IF(I846="""","""",FILTER(DATOS!$D$4:$D$237,DATOS!$B$4:$B$237=I846))"),"18-055")</f>
        <v>18-055</v>
      </c>
      <c r="H837" s="71" t="str">
        <f ca="1">IFERROR(__xludf.DUMMYFUNCTION("IF(I846="""","""",FILTER(DATOS!$C$4:$C$237,DATOS!$B$4:$B$237=I846))"),"RAFAEL URIBE")</f>
        <v>RAFAEL URIBE</v>
      </c>
      <c r="I837" s="35" t="s">
        <v>352</v>
      </c>
      <c r="J837" s="36" t="s">
        <v>306</v>
      </c>
      <c r="K837" s="30">
        <v>5400202.4199999999</v>
      </c>
      <c r="L837" s="57"/>
    </row>
    <row r="838" spans="1:12" ht="15.75" customHeight="1">
      <c r="A838" s="214"/>
      <c r="B838" s="228"/>
      <c r="C838" s="228"/>
      <c r="D838" s="228"/>
      <c r="E838" s="228"/>
      <c r="F838" s="228"/>
      <c r="G838" s="71" t="str">
        <f ca="1">IFERROR(__xludf.DUMMYFUNCTION("IF(I848="""","""",FILTER(DATOS!$D$4:$D$237,DATOS!$B$4:$B$237=I848))"),"18-207")</f>
        <v>18-207</v>
      </c>
      <c r="H838" s="71" t="str">
        <f ca="1">IFERROR(__xludf.DUMMYFUNCTION("IF(I848="""","""",FILTER(DATOS!$C$4:$C$237,DATOS!$B$4:$B$237=I848))"),"RAFAEL URIBE")</f>
        <v>RAFAEL URIBE</v>
      </c>
      <c r="I838" s="35" t="s">
        <v>93</v>
      </c>
      <c r="J838" s="36" t="s">
        <v>283</v>
      </c>
      <c r="K838" s="30">
        <v>2921941.68</v>
      </c>
      <c r="L838" s="57"/>
    </row>
    <row r="839" spans="1:12" ht="15.75" customHeight="1">
      <c r="A839" s="214"/>
      <c r="B839" s="228"/>
      <c r="C839" s="228"/>
      <c r="D839" s="228"/>
      <c r="E839" s="228"/>
      <c r="F839" s="228"/>
      <c r="G839" s="71" t="str">
        <f ca="1">IFERROR(__xludf.DUMMYFUNCTION("IF(I850="""","""",FILTER(DATOS!$D$4:$D$237,DATOS!$B$4:$B$237=I850))"),"18-429")</f>
        <v>18-429</v>
      </c>
      <c r="H839" s="71" t="str">
        <f ca="1">IFERROR(__xludf.DUMMYFUNCTION("IF(I850="""","""",FILTER(DATOS!$C$4:$C$237,DATOS!$B$4:$B$237=I850))"),"RAFAEL URIBE")</f>
        <v>RAFAEL URIBE</v>
      </c>
      <c r="I839" s="35" t="s">
        <v>353</v>
      </c>
      <c r="J839" s="36" t="s">
        <v>283</v>
      </c>
      <c r="K839" s="30">
        <v>2865489.1100000003</v>
      </c>
      <c r="L839" s="57"/>
    </row>
    <row r="840" spans="1:12" ht="15.75" customHeight="1">
      <c r="A840" s="214"/>
      <c r="B840" s="228"/>
      <c r="C840" s="228"/>
      <c r="D840" s="228"/>
      <c r="E840" s="228"/>
      <c r="F840" s="228"/>
      <c r="G840" s="71" t="str">
        <f ca="1">IFERROR(__xludf.DUMMYFUNCTION("IF(I851="""","""",FILTER(DATOS!$D$4:$D$237,DATOS!$B$4:$B$237=I851))"),"18-073")</f>
        <v>18-073</v>
      </c>
      <c r="H840" s="71" t="str">
        <f ca="1">IFERROR(__xludf.DUMMYFUNCTION("IF(I851="""","""",FILTER(DATOS!$C$4:$C$237,DATOS!$B$4:$B$237=I851))"),"RAFAEL URIBE")</f>
        <v>RAFAEL URIBE</v>
      </c>
      <c r="I840" s="35" t="s">
        <v>126</v>
      </c>
      <c r="J840" s="36" t="s">
        <v>283</v>
      </c>
      <c r="K840" s="30">
        <v>2318396.0999999996</v>
      </c>
      <c r="L840" s="57"/>
    </row>
    <row r="841" spans="1:12" ht="15.75" customHeight="1">
      <c r="A841" s="214"/>
      <c r="B841" s="228"/>
      <c r="C841" s="228"/>
      <c r="D841" s="228"/>
      <c r="E841" s="228"/>
      <c r="F841" s="228"/>
      <c r="G841" s="71" t="str">
        <f ca="1">IFERROR(__xludf.DUMMYFUNCTION("IF(I852="""","""",FILTER(DATOS!$D$4:$D$237,DATOS!$B$4:$B$237=I852))"),"18-073")</f>
        <v>18-073</v>
      </c>
      <c r="H841" s="71" t="str">
        <f ca="1">IFERROR(__xludf.DUMMYFUNCTION("IF(I852="""","""",FILTER(DATOS!$C$4:$C$237,DATOS!$B$4:$B$237=I852))"),"RAFAEL URIBE")</f>
        <v>RAFAEL URIBE</v>
      </c>
      <c r="I841" s="35" t="s">
        <v>126</v>
      </c>
      <c r="J841" s="36" t="s">
        <v>283</v>
      </c>
      <c r="K841" s="30">
        <v>2326236.71</v>
      </c>
      <c r="L841" s="57"/>
    </row>
    <row r="842" spans="1:12" ht="15.75" customHeight="1">
      <c r="A842" s="214"/>
      <c r="B842" s="228"/>
      <c r="C842" s="228"/>
      <c r="D842" s="228"/>
      <c r="E842" s="228"/>
      <c r="F842" s="228"/>
      <c r="G842" s="71" t="str">
        <f ca="1">IFERROR(__xludf.DUMMYFUNCTION("IF(I853="""","""",FILTER(DATOS!$D$4:$D$237,DATOS!$B$4:$B$237=I853))"),"18-009")</f>
        <v>18-009</v>
      </c>
      <c r="H842" s="71" t="str">
        <f ca="1">IFERROR(__xludf.DUMMYFUNCTION("IF(I853="""","""",FILTER(DATOS!$C$4:$C$237,DATOS!$B$4:$B$237=I853))"),"RAFAEL URIBE")</f>
        <v>RAFAEL URIBE</v>
      </c>
      <c r="I842" s="35" t="s">
        <v>354</v>
      </c>
      <c r="J842" s="36" t="s">
        <v>283</v>
      </c>
      <c r="K842" s="30">
        <v>2869409.49</v>
      </c>
      <c r="L842" s="57"/>
    </row>
    <row r="843" spans="1:12" ht="15.75" customHeight="1">
      <c r="A843" s="214"/>
      <c r="B843" s="228"/>
      <c r="C843" s="228"/>
      <c r="D843" s="228"/>
      <c r="E843" s="228"/>
      <c r="F843" s="228"/>
      <c r="G843" s="71" t="str">
        <f ca="1">IFERROR(__xludf.DUMMYFUNCTION("IF(I854="""","""",FILTER(DATOS!$D$4:$D$237,DATOS!$B$4:$B$237=I854))"),"04-103")</f>
        <v>04-103</v>
      </c>
      <c r="H843" s="71" t="str">
        <f ca="1">IFERROR(__xludf.DUMMYFUNCTION("IF(I854="""","""",FILTER(DATOS!$C$4:$C$237,DATOS!$B$4:$B$237=I854))"),"SAN CRISTOBAL")</f>
        <v>SAN CRISTOBAL</v>
      </c>
      <c r="I843" s="35" t="s">
        <v>95</v>
      </c>
      <c r="J843" s="36" t="s">
        <v>306</v>
      </c>
      <c r="K843" s="30">
        <v>4850371.71</v>
      </c>
      <c r="L843" s="57"/>
    </row>
    <row r="844" spans="1:12" ht="15.75" customHeight="1">
      <c r="A844" s="214"/>
      <c r="B844" s="228"/>
      <c r="C844" s="228"/>
      <c r="D844" s="228"/>
      <c r="E844" s="228"/>
      <c r="F844" s="228"/>
      <c r="G844" s="71" t="str">
        <f ca="1">IFERROR(__xludf.DUMMYFUNCTION("IF(I855="""","""",FILTER(DATOS!$D$4:$D$237,DATOS!$B$4:$B$237=I855))"),"04-122")</f>
        <v>04-122</v>
      </c>
      <c r="H844" s="71" t="str">
        <f ca="1">IFERROR(__xludf.DUMMYFUNCTION("IF(I855="""","""",FILTER(DATOS!$C$4:$C$237,DATOS!$B$4:$B$237=I855))"),"SAN CRISTOBAL")</f>
        <v>SAN CRISTOBAL</v>
      </c>
      <c r="I844" s="35" t="s">
        <v>108</v>
      </c>
      <c r="J844" s="36" t="s">
        <v>283</v>
      </c>
      <c r="K844" s="30">
        <v>2297269.98</v>
      </c>
      <c r="L844" s="57"/>
    </row>
    <row r="845" spans="1:12" ht="15.75" customHeight="1">
      <c r="A845" s="214"/>
      <c r="B845" s="228"/>
      <c r="C845" s="228"/>
      <c r="D845" s="228"/>
      <c r="E845" s="228"/>
      <c r="F845" s="228"/>
      <c r="G845" s="71" t="str">
        <f ca="1">IFERROR(__xludf.DUMMYFUNCTION("IF(I856="""","""",FILTER(DATOS!$D$4:$D$237,DATOS!$B$4:$B$237=I856))"),"04-122")</f>
        <v>04-122</v>
      </c>
      <c r="H845" s="71" t="str">
        <f ca="1">IFERROR(__xludf.DUMMYFUNCTION("IF(I856="""","""",FILTER(DATOS!$C$4:$C$237,DATOS!$B$4:$B$237=I856))"),"SAN CRISTOBAL")</f>
        <v>SAN CRISTOBAL</v>
      </c>
      <c r="I845" s="35" t="s">
        <v>108</v>
      </c>
      <c r="J845" s="36" t="s">
        <v>283</v>
      </c>
      <c r="K845" s="30">
        <v>2297269.98</v>
      </c>
      <c r="L845" s="57"/>
    </row>
    <row r="846" spans="1:12" ht="15.75" customHeight="1">
      <c r="A846" s="214"/>
      <c r="B846" s="228"/>
      <c r="C846" s="228"/>
      <c r="D846" s="228"/>
      <c r="E846" s="228"/>
      <c r="F846" s="228"/>
      <c r="G846" s="71" t="str">
        <f ca="1">IFERROR(__xludf.DUMMYFUNCTION("IF(I857="""","""",FILTER(DATOS!$D$4:$D$237,DATOS!$B$4:$B$237=I857))"),"04-127")</f>
        <v>04-127</v>
      </c>
      <c r="H846" s="71" t="str">
        <f ca="1">IFERROR(__xludf.DUMMYFUNCTION("IF(I857="""","""",FILTER(DATOS!$C$4:$C$237,DATOS!$B$4:$B$237=I857))"),"SAN CRISTOBAL")</f>
        <v>SAN CRISTOBAL</v>
      </c>
      <c r="I846" s="35" t="s">
        <v>123</v>
      </c>
      <c r="J846" s="36" t="s">
        <v>283</v>
      </c>
      <c r="K846" s="30">
        <v>2348974.4699999997</v>
      </c>
      <c r="L846" s="57"/>
    </row>
    <row r="847" spans="1:12" ht="15.75" customHeight="1">
      <c r="A847" s="214"/>
      <c r="B847" s="228"/>
      <c r="C847" s="228"/>
      <c r="D847" s="228"/>
      <c r="E847" s="228"/>
      <c r="F847" s="228"/>
      <c r="G847" s="71" t="str">
        <f ca="1">IFERROR(__xludf.DUMMYFUNCTION("IF(I858="""","""",FILTER(DATOS!$D$4:$D$237,DATOS!$B$4:$B$237=I858))"),"04-127")</f>
        <v>04-127</v>
      </c>
      <c r="H847" s="71" t="str">
        <f ca="1">IFERROR(__xludf.DUMMYFUNCTION("IF(I858="""","""",FILTER(DATOS!$C$4:$C$237,DATOS!$B$4:$B$237=I858))"),"SAN CRISTOBAL")</f>
        <v>SAN CRISTOBAL</v>
      </c>
      <c r="I847" s="35" t="s">
        <v>123</v>
      </c>
      <c r="J847" s="36" t="s">
        <v>283</v>
      </c>
      <c r="K847" s="30">
        <v>2340306.2400000002</v>
      </c>
      <c r="L847" s="57"/>
    </row>
    <row r="848" spans="1:12" ht="15.75" customHeight="1">
      <c r="A848" s="214"/>
      <c r="B848" s="228"/>
      <c r="C848" s="228"/>
      <c r="D848" s="228"/>
      <c r="E848" s="228"/>
      <c r="F848" s="228"/>
      <c r="G848" s="71" t="str">
        <f ca="1">IFERROR(__xludf.DUMMYFUNCTION("IF(I859="""","""",FILTER(DATOS!$D$4:$D$237,DATOS!$B$4:$B$237=I859))"),"04-038")</f>
        <v>04-038</v>
      </c>
      <c r="H848" s="71" t="str">
        <f ca="1">IFERROR(__xludf.DUMMYFUNCTION("IF(I859="""","""",FILTER(DATOS!$C$4:$C$237,DATOS!$B$4:$B$237=I859))"),"SAN CRISTOBAL")</f>
        <v>SAN CRISTOBAL</v>
      </c>
      <c r="I848" s="35" t="s">
        <v>355</v>
      </c>
      <c r="J848" s="36" t="s">
        <v>283</v>
      </c>
      <c r="K848" s="30">
        <v>2295527.6</v>
      </c>
      <c r="L848" s="57"/>
    </row>
    <row r="849" spans="1:12" ht="15.75" customHeight="1">
      <c r="A849" s="214"/>
      <c r="B849" s="228"/>
      <c r="C849" s="228"/>
      <c r="D849" s="228"/>
      <c r="E849" s="228"/>
      <c r="F849" s="228"/>
      <c r="G849" s="71" t="str">
        <f ca="1">IFERROR(__xludf.DUMMYFUNCTION("IF(I860="""","""",FILTER(DATOS!$D$4:$D$237,DATOS!$B$4:$B$237=I860))"),"03-036")</f>
        <v>03-036</v>
      </c>
      <c r="H849" s="71" t="str">
        <f ca="1">IFERROR(__xludf.DUMMYFUNCTION("IF(I860="""","""",FILTER(DATOS!$C$4:$C$237,DATOS!$B$4:$B$237=I860))"),"SANTAFE")</f>
        <v>SANTAFE</v>
      </c>
      <c r="I849" s="35" t="s">
        <v>109</v>
      </c>
      <c r="J849" s="36" t="s">
        <v>283</v>
      </c>
      <c r="K849" s="30">
        <v>2308595.2999999998</v>
      </c>
      <c r="L849" s="57"/>
    </row>
    <row r="850" spans="1:12" ht="15.75" customHeight="1">
      <c r="A850" s="214"/>
      <c r="B850" s="228"/>
      <c r="C850" s="228"/>
      <c r="D850" s="228"/>
      <c r="E850" s="228"/>
      <c r="F850" s="228"/>
      <c r="G850" s="71" t="str">
        <f ca="1">IFERROR(__xludf.DUMMYFUNCTION("IF(I861="""","""",FILTER(DATOS!$D$4:$D$237,DATOS!$B$4:$B$237=I861))"),"03-122")</f>
        <v>03-122</v>
      </c>
      <c r="H850" s="71" t="str">
        <f ca="1">IFERROR(__xludf.DUMMYFUNCTION("IF(I861="""","""",FILTER(DATOS!$C$4:$C$237,DATOS!$B$4:$B$237=I861))"),"SANTAFE")</f>
        <v>SANTAFE</v>
      </c>
      <c r="I850" s="35" t="s">
        <v>356</v>
      </c>
      <c r="J850" s="36" t="s">
        <v>283</v>
      </c>
      <c r="K850" s="30">
        <v>2293349.6399999997</v>
      </c>
      <c r="L850" s="57"/>
    </row>
    <row r="851" spans="1:12" ht="15.75" customHeight="1">
      <c r="A851" s="214"/>
      <c r="B851" s="228"/>
      <c r="C851" s="228"/>
      <c r="D851" s="228"/>
      <c r="E851" s="228"/>
      <c r="F851" s="228"/>
      <c r="G851" s="71" t="str">
        <f ca="1">IFERROR(__xludf.DUMMYFUNCTION("IF(I862="""","""",FILTER(DATOS!$D$4:$D$237,DATOS!$B$4:$B$237=I862))"),"03-148")</f>
        <v>03-148</v>
      </c>
      <c r="H851" s="71" t="str">
        <f ca="1">IFERROR(__xludf.DUMMYFUNCTION("IF(I862="""","""",FILTER(DATOS!$C$4:$C$237,DATOS!$B$4:$B$237=I862))"),"SANTAFE")</f>
        <v>SANTAFE</v>
      </c>
      <c r="I851" s="35" t="s">
        <v>357</v>
      </c>
      <c r="J851" s="36" t="s">
        <v>283</v>
      </c>
      <c r="K851" s="30">
        <v>2326018.8899999997</v>
      </c>
      <c r="L851" s="57"/>
    </row>
    <row r="852" spans="1:12" ht="15.75" customHeight="1">
      <c r="A852" s="214"/>
      <c r="B852" s="228"/>
      <c r="C852" s="228"/>
      <c r="D852" s="228"/>
      <c r="E852" s="228"/>
      <c r="F852" s="228"/>
      <c r="G852" s="71" t="str">
        <f ca="1">IFERROR(__xludf.DUMMYFUNCTION("IF(I863="""","""",FILTER(DATOS!$D$4:$D$237,DATOS!$B$4:$B$237=I863))"),"03-085")</f>
        <v>03-085</v>
      </c>
      <c r="H852" s="71" t="str">
        <f ca="1">IFERROR(__xludf.DUMMYFUNCTION("IF(I863="""","""",FILTER(DATOS!$C$4:$C$237,DATOS!$B$4:$B$237=I863))"),"SANTAFE")</f>
        <v>SANTAFE</v>
      </c>
      <c r="I852" s="35" t="s">
        <v>129</v>
      </c>
      <c r="J852" s="36" t="s">
        <v>283</v>
      </c>
      <c r="K852" s="30">
        <v>2350411.92</v>
      </c>
      <c r="L852" s="57"/>
    </row>
    <row r="853" spans="1:12" ht="15.75" customHeight="1">
      <c r="A853" s="214"/>
      <c r="B853" s="228"/>
      <c r="C853" s="228"/>
      <c r="D853" s="228"/>
      <c r="E853" s="228"/>
      <c r="F853" s="228"/>
      <c r="G853" s="71" t="str">
        <f ca="1">IFERROR(__xludf.DUMMYFUNCTION("IF(I864="""","""",FILTER(DATOS!$D$4:$D$237,DATOS!$B$4:$B$237=I864))"),"03-085")</f>
        <v>03-085</v>
      </c>
      <c r="H853" s="71" t="str">
        <f ca="1">IFERROR(__xludf.DUMMYFUNCTION("IF(I864="""","""",FILTER(DATOS!$C$4:$C$237,DATOS!$B$4:$B$237=I864))"),"SANTAFE")</f>
        <v>SANTAFE</v>
      </c>
      <c r="I853" s="35" t="s">
        <v>129</v>
      </c>
      <c r="J853" s="36" t="s">
        <v>283</v>
      </c>
      <c r="K853" s="30">
        <v>2301625.8600000003</v>
      </c>
      <c r="L853" s="57"/>
    </row>
    <row r="854" spans="1:12" ht="15.75" customHeight="1">
      <c r="A854" s="214"/>
      <c r="B854" s="228"/>
      <c r="C854" s="228"/>
      <c r="D854" s="228"/>
      <c r="E854" s="228"/>
      <c r="F854" s="228"/>
      <c r="G854" s="71" t="str">
        <f ca="1">IFERROR(__xludf.DUMMYFUNCTION("IF(I865="""","""",FILTER(DATOS!$D$4:$D$237,DATOS!$B$4:$B$237=I865))"),"03-085")</f>
        <v>03-085</v>
      </c>
      <c r="H854" s="71" t="str">
        <f ca="1">IFERROR(__xludf.DUMMYFUNCTION("IF(I865="""","""",FILTER(DATOS!$C$4:$C$237,DATOS!$B$4:$B$237=I865))"),"SANTAFE")</f>
        <v>SANTAFE</v>
      </c>
      <c r="I854" s="35" t="s">
        <v>129</v>
      </c>
      <c r="J854" s="36" t="s">
        <v>283</v>
      </c>
      <c r="K854" s="30">
        <v>2301625.8600000003</v>
      </c>
      <c r="L854" s="57"/>
    </row>
    <row r="855" spans="1:12" ht="15.75" customHeight="1">
      <c r="A855" s="214"/>
      <c r="B855" s="228"/>
      <c r="C855" s="228"/>
      <c r="D855" s="228"/>
      <c r="E855" s="228"/>
      <c r="F855" s="228"/>
      <c r="G855" s="71" t="str">
        <f ca="1">IFERROR(__xludf.DUMMYFUNCTION("IF(I866="""","""",FILTER(DATOS!$D$4:$D$237,DATOS!$B$4:$B$237=I866))"),"11-015")</f>
        <v>11-015</v>
      </c>
      <c r="H855" s="71" t="str">
        <f ca="1">IFERROR(__xludf.DUMMYFUNCTION("IF(I866="""","""",FILTER(DATOS!$C$4:$C$237,DATOS!$B$4:$B$237=I866))"),"SUBA")</f>
        <v>SUBA</v>
      </c>
      <c r="I855" s="35" t="s">
        <v>358</v>
      </c>
      <c r="J855" s="36" t="s">
        <v>283</v>
      </c>
      <c r="K855" s="30">
        <v>2875507.7700000005</v>
      </c>
      <c r="L855" s="57"/>
    </row>
    <row r="856" spans="1:12" ht="15.75" customHeight="1">
      <c r="A856" s="214"/>
      <c r="B856" s="228"/>
      <c r="C856" s="228"/>
      <c r="D856" s="228"/>
      <c r="E856" s="228"/>
      <c r="F856" s="228"/>
      <c r="G856" s="71" t="str">
        <f ca="1">IFERROR(__xludf.DUMMYFUNCTION("IF(I867="""","""",FILTER(DATOS!$D$4:$D$237,DATOS!$B$4:$B$237=I867))"),"11-074")</f>
        <v>11-074</v>
      </c>
      <c r="H856" s="71" t="str">
        <f ca="1">IFERROR(__xludf.DUMMYFUNCTION("IF(I867="""","""",FILTER(DATOS!$C$4:$C$237,DATOS!$B$4:$B$237=I867))"),"SUBA")</f>
        <v>SUBA</v>
      </c>
      <c r="I856" s="35" t="s">
        <v>359</v>
      </c>
      <c r="J856" s="36" t="s">
        <v>306</v>
      </c>
      <c r="K856" s="30">
        <v>3912827.6799999997</v>
      </c>
      <c r="L856" s="57"/>
    </row>
    <row r="857" spans="1:12" ht="15.75" customHeight="1">
      <c r="A857" s="214"/>
      <c r="B857" s="228"/>
      <c r="C857" s="228"/>
      <c r="D857" s="228"/>
      <c r="E857" s="228"/>
      <c r="F857" s="228"/>
      <c r="G857" s="71" t="str">
        <f ca="1">IFERROR(__xludf.DUMMYFUNCTION("IF(I868="""","""",FILTER(DATOS!$D$4:$D$237,DATOS!$B$4:$B$237=I868))"),"11-058")</f>
        <v>11-058</v>
      </c>
      <c r="H857" s="71" t="str">
        <f ca="1">IFERROR(__xludf.DUMMYFUNCTION("IF(I868="""","""",FILTER(DATOS!$C$4:$C$237,DATOS!$B$4:$B$237=I868))"),"SUBA")</f>
        <v>SUBA</v>
      </c>
      <c r="I857" s="35" t="s">
        <v>360</v>
      </c>
      <c r="J857" s="36" t="s">
        <v>306</v>
      </c>
      <c r="K857" s="30">
        <v>6505959.8100000005</v>
      </c>
      <c r="L857" s="57"/>
    </row>
    <row r="858" spans="1:12" ht="15.75" customHeight="1">
      <c r="A858" s="214"/>
      <c r="B858" s="228"/>
      <c r="C858" s="228"/>
      <c r="D858" s="228"/>
      <c r="E858" s="228"/>
      <c r="F858" s="228"/>
      <c r="G858" s="71" t="str">
        <f ca="1">IFERROR(__xludf.DUMMYFUNCTION("IF(I869="""","""",FILTER(DATOS!$D$4:$D$237,DATOS!$B$4:$B$237=I869))"),"11-058")</f>
        <v>11-058</v>
      </c>
      <c r="H858" s="71" t="str">
        <f ca="1">IFERROR(__xludf.DUMMYFUNCTION("IF(I869="""","""",FILTER(DATOS!$C$4:$C$237,DATOS!$B$4:$B$237=I869))"),"SUBA")</f>
        <v>SUBA</v>
      </c>
      <c r="I858" s="35" t="s">
        <v>360</v>
      </c>
      <c r="J858" s="36" t="s">
        <v>306</v>
      </c>
      <c r="K858" s="30">
        <v>6642328.2699999996</v>
      </c>
      <c r="L858" s="57"/>
    </row>
    <row r="859" spans="1:12" ht="15.75" customHeight="1">
      <c r="A859" s="214"/>
      <c r="B859" s="228"/>
      <c r="C859" s="228"/>
      <c r="D859" s="228"/>
      <c r="E859" s="228"/>
      <c r="F859" s="228"/>
      <c r="G859" s="71" t="str">
        <f ca="1">IFERROR(__xludf.DUMMYFUNCTION("IF(I870="""","""",FILTER(DATOS!$D$4:$D$237,DATOS!$B$4:$B$237=I870))"),"11-204")</f>
        <v>11-204</v>
      </c>
      <c r="H859" s="71" t="str">
        <f ca="1">IFERROR(__xludf.DUMMYFUNCTION("IF(I870="""","""",FILTER(DATOS!$C$4:$C$237,DATOS!$B$4:$B$237=I870))"),"SUBA")</f>
        <v>SUBA</v>
      </c>
      <c r="I859" s="35" t="s">
        <v>42</v>
      </c>
      <c r="J859" s="36" t="s">
        <v>283</v>
      </c>
      <c r="K859" s="30">
        <v>1720193.73</v>
      </c>
      <c r="L859" s="57"/>
    </row>
    <row r="860" spans="1:12" ht="15.75" customHeight="1">
      <c r="A860" s="214"/>
      <c r="B860" s="228"/>
      <c r="C860" s="228"/>
      <c r="D860" s="228"/>
      <c r="E860" s="228"/>
      <c r="F860" s="228"/>
      <c r="G860" s="71" t="str">
        <f ca="1">IFERROR(__xludf.DUMMYFUNCTION("IF(I871="""","""",FILTER(DATOS!$D$4:$D$237,DATOS!$B$4:$B$237=I871))"),"11-205")</f>
        <v>11-205</v>
      </c>
      <c r="H860" s="71" t="str">
        <f ca="1">IFERROR(__xludf.DUMMYFUNCTION("IF(I871="""","""",FILTER(DATOS!$C$4:$C$237,DATOS!$B$4:$B$237=I871))"),"SUBA")</f>
        <v>SUBA</v>
      </c>
      <c r="I860" s="35" t="s">
        <v>39</v>
      </c>
      <c r="J860" s="36" t="s">
        <v>283</v>
      </c>
      <c r="K860" s="30">
        <v>2897287.27</v>
      </c>
      <c r="L860" s="57"/>
    </row>
    <row r="861" spans="1:12" ht="15.75" customHeight="1">
      <c r="A861" s="214"/>
      <c r="B861" s="228"/>
      <c r="C861" s="228"/>
      <c r="D861" s="228"/>
      <c r="E861" s="228"/>
      <c r="F861" s="228"/>
      <c r="G861" s="71" t="str">
        <f ca="1">IFERROR(__xludf.DUMMYFUNCTION("IF(I872="""","""",FILTER(DATOS!$D$4:$D$237,DATOS!$B$4:$B$237=I872))"),"11-309")</f>
        <v>11-309</v>
      </c>
      <c r="H861" s="71" t="str">
        <f ca="1">IFERROR(__xludf.DUMMYFUNCTION("IF(I872="""","""",FILTER(DATOS!$C$4:$C$237,DATOS!$B$4:$B$237=I872))"),"SUBA")</f>
        <v>SUBA</v>
      </c>
      <c r="I861" s="35" t="s">
        <v>361</v>
      </c>
      <c r="J861" s="36" t="s">
        <v>283</v>
      </c>
      <c r="K861" s="30">
        <v>2869409.49</v>
      </c>
      <c r="L861" s="57"/>
    </row>
    <row r="862" spans="1:12" ht="15.75" customHeight="1">
      <c r="A862" s="214"/>
      <c r="B862" s="228"/>
      <c r="C862" s="228"/>
      <c r="D862" s="228"/>
      <c r="E862" s="228"/>
      <c r="F862" s="228"/>
      <c r="G862" s="71" t="str">
        <f ca="1">IFERROR(__xludf.DUMMYFUNCTION("IF(I873="""","""",FILTER(DATOS!$D$4:$D$237,DATOS!$B$4:$B$237=I873))"),"11-109")</f>
        <v>11-109</v>
      </c>
      <c r="H862" s="71" t="str">
        <f ca="1">IFERROR(__xludf.DUMMYFUNCTION("IF(I873="""","""",FILTER(DATOS!$C$4:$C$237,DATOS!$B$4:$B$237=I873))"),"SUBA")</f>
        <v>SUBA</v>
      </c>
      <c r="I862" s="35" t="s">
        <v>362</v>
      </c>
      <c r="J862" s="36" t="s">
        <v>306</v>
      </c>
      <c r="K862" s="30">
        <v>4001521.8499999996</v>
      </c>
      <c r="L862" s="57"/>
    </row>
    <row r="863" spans="1:12" ht="15.75" customHeight="1">
      <c r="A863" s="214"/>
      <c r="B863" s="228"/>
      <c r="C863" s="228"/>
      <c r="D863" s="228"/>
      <c r="E863" s="228"/>
      <c r="F863" s="228"/>
      <c r="G863" s="71" t="str">
        <f ca="1">IFERROR(__xludf.DUMMYFUNCTION("IF(I874="""","""",FILTER(DATOS!$D$4:$D$237,DATOS!$B$4:$B$237=I874))"),"11-084")</f>
        <v>11-084</v>
      </c>
      <c r="H863" s="71" t="str">
        <f ca="1">IFERROR(__xludf.DUMMYFUNCTION("IF(I874="""","""",FILTER(DATOS!$C$4:$C$237,DATOS!$B$4:$B$237=I874))"),"SUBA")</f>
        <v>SUBA</v>
      </c>
      <c r="I863" s="35" t="s">
        <v>363</v>
      </c>
      <c r="J863" s="36" t="s">
        <v>283</v>
      </c>
      <c r="K863" s="30">
        <v>2884219.5700000003</v>
      </c>
      <c r="L863" s="57"/>
    </row>
    <row r="864" spans="1:12" ht="15.75" customHeight="1">
      <c r="A864" s="214"/>
      <c r="B864" s="228"/>
      <c r="C864" s="228"/>
      <c r="D864" s="228"/>
      <c r="E864" s="228"/>
      <c r="F864" s="228"/>
      <c r="G864" s="71" t="str">
        <f ca="1">IFERROR(__xludf.DUMMYFUNCTION("IF(I875="""","""",FILTER(DATOS!$D$4:$D$237,DATOS!$B$4:$B$237=I875))"),"11-084")</f>
        <v>11-084</v>
      </c>
      <c r="H864" s="71" t="str">
        <f ca="1">IFERROR(__xludf.DUMMYFUNCTION("IF(I875="""","""",FILTER(DATOS!$C$4:$C$237,DATOS!$B$4:$B$237=I875))"),"SUBA")</f>
        <v>SUBA</v>
      </c>
      <c r="I864" s="35" t="s">
        <v>363</v>
      </c>
      <c r="J864" s="36" t="s">
        <v>283</v>
      </c>
      <c r="K864" s="30">
        <v>2891188.99</v>
      </c>
      <c r="L864" s="57"/>
    </row>
    <row r="865" spans="1:12" ht="15.75" customHeight="1">
      <c r="A865" s="214"/>
      <c r="B865" s="228"/>
      <c r="C865" s="228"/>
      <c r="D865" s="228"/>
      <c r="E865" s="228"/>
      <c r="F865" s="228"/>
      <c r="G865" s="71" t="str">
        <f ca="1">IFERROR(__xludf.DUMMYFUNCTION("IF(I876="""","""",FILTER(DATOS!$D$4:$D$237,DATOS!$B$4:$B$237=I876))"),"11-686")</f>
        <v>11-686</v>
      </c>
      <c r="H865" s="71" t="str">
        <f ca="1">IFERROR(__xludf.DUMMYFUNCTION("IF(I876="""","""",FILTER(DATOS!$C$4:$C$237,DATOS!$B$4:$B$237=I876))"),"SUBA")</f>
        <v>SUBA</v>
      </c>
      <c r="I865" s="35" t="s">
        <v>364</v>
      </c>
      <c r="J865" s="36" t="s">
        <v>283</v>
      </c>
      <c r="K865" s="30">
        <v>2876814.54</v>
      </c>
      <c r="L865" s="57"/>
    </row>
    <row r="866" spans="1:12" ht="15.75" customHeight="1">
      <c r="A866" s="214"/>
      <c r="B866" s="228"/>
      <c r="C866" s="228"/>
      <c r="D866" s="228"/>
      <c r="E866" s="228"/>
      <c r="F866" s="228"/>
      <c r="G866" s="71" t="str">
        <f ca="1">IFERROR(__xludf.DUMMYFUNCTION("IF(I877="""","""",FILTER(DATOS!$D$4:$D$237,DATOS!$B$4:$B$237=I877))"),"11-162")</f>
        <v>11-162</v>
      </c>
      <c r="H866" s="71" t="str">
        <f ca="1">IFERROR(__xludf.DUMMYFUNCTION("IF(I877="""","""",FILTER(DATOS!$C$4:$C$237,DATOS!$B$4:$B$237=I877))"),"SUBA")</f>
        <v>SUBA</v>
      </c>
      <c r="I866" s="35" t="s">
        <v>365</v>
      </c>
      <c r="J866" s="36" t="s">
        <v>306</v>
      </c>
      <c r="K866" s="30">
        <v>3924604.2500000005</v>
      </c>
      <c r="L866" s="57"/>
    </row>
    <row r="867" spans="1:12" ht="15.75" customHeight="1">
      <c r="A867" s="214"/>
      <c r="B867" s="228"/>
      <c r="C867" s="228"/>
      <c r="D867" s="228"/>
      <c r="E867" s="228"/>
      <c r="F867" s="228"/>
      <c r="G867" s="71" t="str">
        <f ca="1">IFERROR(__xludf.DUMMYFUNCTION("IF(I878="""","""",FILTER(DATOS!$D$4:$D$237,DATOS!$B$4:$B$237=I878))"),"11-668")</f>
        <v>11-668</v>
      </c>
      <c r="H867" s="71" t="str">
        <f ca="1">IFERROR(__xludf.DUMMYFUNCTION("IF(I878="""","""",FILTER(DATOS!$C$4:$C$237,DATOS!$B$4:$B$237=I878))"),"SUBA")</f>
        <v>SUBA</v>
      </c>
      <c r="I867" s="35" t="s">
        <v>366</v>
      </c>
      <c r="J867" s="36" t="s">
        <v>283</v>
      </c>
      <c r="K867" s="30">
        <v>2869409.49</v>
      </c>
      <c r="L867" s="57"/>
    </row>
    <row r="868" spans="1:12" ht="15.75" customHeight="1">
      <c r="A868" s="214"/>
      <c r="B868" s="228"/>
      <c r="C868" s="228"/>
      <c r="D868" s="228"/>
      <c r="E868" s="228"/>
      <c r="F868" s="228"/>
      <c r="G868" s="88" t="str">
        <f ca="1">IFERROR(__xludf.DUMMYFUNCTION("IF(I879="""","""",FILTER(DATOS!$D$4:$D$237,DATOS!$B$4:$B$237=I879))"),"11-1101")</f>
        <v>11-1101</v>
      </c>
      <c r="H868" s="88" t="str">
        <f ca="1">IFERROR(__xludf.DUMMYFUNCTION("IF(I879="""","""",FILTER(DATOS!$C$4:$C$237,DATOS!$B$4:$B$237=I879))"),"SUBA")</f>
        <v>SUBA</v>
      </c>
      <c r="I868" s="35" t="s">
        <v>302</v>
      </c>
      <c r="J868" s="36" t="s">
        <v>283</v>
      </c>
      <c r="K868" s="30">
        <v>2912968.5</v>
      </c>
      <c r="L868" s="57"/>
    </row>
    <row r="869" spans="1:12" ht="15.75" customHeight="1">
      <c r="A869" s="214"/>
      <c r="B869" s="228"/>
      <c r="C869" s="228"/>
      <c r="D869" s="228"/>
      <c r="E869" s="228"/>
      <c r="F869" s="228"/>
      <c r="G869" s="71" t="str">
        <f ca="1">IFERROR(__xludf.DUMMYFUNCTION("IF(I880="""","""",FILTER(DATOS!$D$4:$D$237,DATOS!$B$4:$B$237=I880))"),"11-036")</f>
        <v>11-036</v>
      </c>
      <c r="H869" s="71" t="str">
        <f ca="1">IFERROR(__xludf.DUMMYFUNCTION("IF(I880="""","""",FILTER(DATOS!$C$4:$C$237,DATOS!$B$4:$B$237=I880))"),"SUBA")</f>
        <v>SUBA</v>
      </c>
      <c r="I869" s="35" t="s">
        <v>367</v>
      </c>
      <c r="J869" s="36" t="s">
        <v>283</v>
      </c>
      <c r="K869" s="30">
        <v>2866360.3499999996</v>
      </c>
      <c r="L869" s="57"/>
    </row>
    <row r="870" spans="1:12" ht="15.75" customHeight="1">
      <c r="A870" s="214"/>
      <c r="B870" s="228"/>
      <c r="C870" s="228"/>
      <c r="D870" s="228"/>
      <c r="E870" s="228"/>
      <c r="F870" s="228"/>
      <c r="G870" s="71" t="str">
        <f ca="1">IFERROR(__xludf.DUMMYFUNCTION("IF(I881="""","""",FILTER(DATOS!$D$4:$D$237,DATOS!$B$4:$B$237=I881))"),"11-069")</f>
        <v>11-069</v>
      </c>
      <c r="H870" s="71" t="str">
        <f ca="1">IFERROR(__xludf.DUMMYFUNCTION("IF(I881="""","""",FILTER(DATOS!$C$4:$C$237,DATOS!$B$4:$B$237=I881))"),"SUBA")</f>
        <v>SUBA</v>
      </c>
      <c r="I870" s="35" t="s">
        <v>26</v>
      </c>
      <c r="J870" s="36" t="s">
        <v>283</v>
      </c>
      <c r="K870" s="30">
        <v>2887268.67</v>
      </c>
      <c r="L870" s="57"/>
    </row>
    <row r="871" spans="1:12" ht="15.75" customHeight="1">
      <c r="A871" s="214"/>
      <c r="B871" s="228"/>
      <c r="C871" s="228"/>
      <c r="D871" s="228"/>
      <c r="E871" s="228"/>
      <c r="F871" s="228"/>
      <c r="G871" s="71" t="str">
        <f ca="1">IFERROR(__xludf.DUMMYFUNCTION("IF(I882="""","""",FILTER(DATOS!$D$4:$D$237,DATOS!$B$4:$B$237=I882))"),"11-008")</f>
        <v>11-008</v>
      </c>
      <c r="H871" s="71" t="str">
        <f ca="1">IFERROR(__xludf.DUMMYFUNCTION("IF(I882="""","""",FILTER(DATOS!$C$4:$C$237,DATOS!$B$4:$B$237=I882))"),"SUBA")</f>
        <v>SUBA</v>
      </c>
      <c r="I871" s="35" t="s">
        <v>368</v>
      </c>
      <c r="J871" s="36" t="s">
        <v>283</v>
      </c>
      <c r="K871" s="30">
        <v>2878992.4799999995</v>
      </c>
      <c r="L871" s="57"/>
    </row>
    <row r="872" spans="1:12" ht="15.75" customHeight="1">
      <c r="A872" s="214"/>
      <c r="B872" s="228"/>
      <c r="C872" s="228"/>
      <c r="D872" s="228"/>
      <c r="E872" s="228"/>
      <c r="F872" s="228"/>
      <c r="G872" s="71" t="str">
        <f ca="1">IFERROR(__xludf.DUMMYFUNCTION("IF(I883="""","""",FILTER(DATOS!$D$4:$D$237,DATOS!$B$4:$B$237=I883))"),"11-368")</f>
        <v>11-368</v>
      </c>
      <c r="H872" s="71" t="str">
        <f ca="1">IFERROR(__xludf.DUMMYFUNCTION("IF(I883="""","""",FILTER(DATOS!$C$4:$C$237,DATOS!$B$4:$B$237=I883))"),"SUBA")</f>
        <v>SUBA</v>
      </c>
      <c r="I872" s="35" t="s">
        <v>34</v>
      </c>
      <c r="J872" s="36" t="s">
        <v>283</v>
      </c>
      <c r="K872" s="30">
        <v>2898419.79</v>
      </c>
      <c r="L872" s="57"/>
    </row>
    <row r="873" spans="1:12" ht="15.75" customHeight="1">
      <c r="A873" s="214"/>
      <c r="B873" s="228"/>
      <c r="C873" s="228"/>
      <c r="D873" s="228"/>
      <c r="E873" s="228"/>
      <c r="F873" s="228"/>
      <c r="G873" s="71" t="str">
        <f ca="1">IFERROR(__xludf.DUMMYFUNCTION("IF(I884="""","""",FILTER(DATOS!$D$4:$D$237,DATOS!$B$4:$B$237=I884))"),"11-368")</f>
        <v>11-368</v>
      </c>
      <c r="H873" s="71" t="str">
        <f ca="1">IFERROR(__xludf.DUMMYFUNCTION("IF(I884="""","""",FILTER(DATOS!$C$4:$C$237,DATOS!$B$4:$B$237=I884))"),"SUBA")</f>
        <v>SUBA</v>
      </c>
      <c r="I873" s="35" t="s">
        <v>34</v>
      </c>
      <c r="J873" s="36" t="s">
        <v>283</v>
      </c>
      <c r="K873" s="30">
        <v>2913404.07</v>
      </c>
      <c r="L873" s="57"/>
    </row>
    <row r="874" spans="1:12" ht="15.75" customHeight="1">
      <c r="A874" s="214"/>
      <c r="B874" s="228"/>
      <c r="C874" s="228"/>
      <c r="D874" s="228"/>
      <c r="E874" s="228"/>
      <c r="F874" s="228"/>
      <c r="G874" s="71" t="str">
        <f ca="1">IFERROR(__xludf.DUMMYFUNCTION("IF(I885="""","""",FILTER(DATOS!$D$4:$D$237,DATOS!$B$4:$B$237=I885))"),"11-368")</f>
        <v>11-368</v>
      </c>
      <c r="H874" s="71" t="str">
        <f ca="1">IFERROR(__xludf.DUMMYFUNCTION("IF(I885="""","""",FILTER(DATOS!$C$4:$C$237,DATOS!$B$4:$B$237=I885))"),"SUBA")</f>
        <v>SUBA</v>
      </c>
      <c r="I874" s="35" t="s">
        <v>34</v>
      </c>
      <c r="J874" s="36" t="s">
        <v>283</v>
      </c>
      <c r="K874" s="30">
        <v>2869409.49</v>
      </c>
      <c r="L874" s="57"/>
    </row>
    <row r="875" spans="1:12" ht="15.75" customHeight="1">
      <c r="A875" s="214"/>
      <c r="B875" s="228"/>
      <c r="C875" s="228"/>
      <c r="D875" s="228"/>
      <c r="E875" s="228"/>
      <c r="F875" s="228"/>
      <c r="G875" s="71" t="str">
        <f ca="1">IFERROR(__xludf.DUMMYFUNCTION("IF(I886="""","""",FILTER(DATOS!$D$4:$D$237,DATOS!$B$4:$B$237=I886))"),"11-052")</f>
        <v>11-052</v>
      </c>
      <c r="H875" s="71" t="str">
        <f ca="1">IFERROR(__xludf.DUMMYFUNCTION("IF(I886="""","""",FILTER(DATOS!$C$4:$C$237,DATOS!$B$4:$B$237=I886))"),"SUBA")</f>
        <v>SUBA</v>
      </c>
      <c r="I875" s="35" t="s">
        <v>369</v>
      </c>
      <c r="J875" s="36" t="s">
        <v>283</v>
      </c>
      <c r="K875" s="30">
        <v>2869409.49</v>
      </c>
      <c r="L875" s="57"/>
    </row>
    <row r="876" spans="1:12" ht="15.75" customHeight="1">
      <c r="A876" s="214"/>
      <c r="B876" s="228"/>
      <c r="C876" s="228"/>
      <c r="D876" s="228"/>
      <c r="E876" s="228"/>
      <c r="F876" s="228"/>
      <c r="G876" s="71" t="str">
        <f ca="1">IFERROR(__xludf.DUMMYFUNCTION("IF(I887="""","""",FILTER(DATOS!$D$4:$D$237,DATOS!$B$4:$B$237=I887))"),"11-161")</f>
        <v>11-161</v>
      </c>
      <c r="H876" s="71" t="str">
        <f ca="1">IFERROR(__xludf.DUMMYFUNCTION("IF(I887="""","""",FILTER(DATOS!$C$4:$C$237,DATOS!$B$4:$B$237=I887))"),"SUBA")</f>
        <v>SUBA</v>
      </c>
      <c r="I876" s="35" t="s">
        <v>370</v>
      </c>
      <c r="J876" s="36" t="s">
        <v>283</v>
      </c>
      <c r="K876" s="30">
        <v>2875943.34</v>
      </c>
      <c r="L876" s="57"/>
    </row>
    <row r="877" spans="1:12" ht="15.75" customHeight="1">
      <c r="A877" s="214"/>
      <c r="B877" s="228"/>
      <c r="C877" s="228"/>
      <c r="D877" s="228"/>
      <c r="E877" s="228"/>
      <c r="F877" s="228"/>
      <c r="G877" s="71" t="str">
        <f ca="1">IFERROR(__xludf.DUMMYFUNCTION("IF(I888="""","""",FILTER(DATOS!$D$4:$D$237,DATOS!$B$4:$B$237=I888))"),"13-015")</f>
        <v>13-015</v>
      </c>
      <c r="H877" s="71" t="str">
        <f ca="1">IFERROR(__xludf.DUMMYFUNCTION("IF(I888="""","""",FILTER(DATOS!$C$4:$C$237,DATOS!$B$4:$B$237=I888))"),"TEUSAQUILLO")</f>
        <v>TEUSAQUILLO</v>
      </c>
      <c r="I877" s="35" t="s">
        <v>371</v>
      </c>
      <c r="J877" s="36" t="s">
        <v>283</v>
      </c>
      <c r="K877" s="30">
        <v>2887791.42</v>
      </c>
      <c r="L877" s="57"/>
    </row>
    <row r="878" spans="1:12" ht="15.75" customHeight="1">
      <c r="A878" s="214"/>
      <c r="B878" s="228"/>
      <c r="C878" s="228"/>
      <c r="D878" s="228"/>
      <c r="E878" s="228"/>
      <c r="F878" s="228"/>
      <c r="G878" s="71" t="str">
        <f ca="1">IFERROR(__xludf.DUMMYFUNCTION("IF(I889="""","""",FILTER(DATOS!$D$4:$D$237,DATOS!$B$4:$B$237=I889))"),"06-063")</f>
        <v>06-063</v>
      </c>
      <c r="H878" s="71" t="str">
        <f ca="1">IFERROR(__xludf.DUMMYFUNCTION("IF(I889="""","""",FILTER(DATOS!$C$4:$C$237,DATOS!$B$4:$B$237=I889))"),"TUNJUELITO")</f>
        <v>TUNJUELITO</v>
      </c>
      <c r="I878" s="35" t="s">
        <v>87</v>
      </c>
      <c r="J878" s="36" t="s">
        <v>283</v>
      </c>
      <c r="K878" s="30">
        <v>2325017.0300000003</v>
      </c>
      <c r="L878" s="57"/>
    </row>
    <row r="879" spans="1:12" ht="15.75" customHeight="1">
      <c r="A879" s="214"/>
      <c r="B879" s="228"/>
      <c r="C879" s="228"/>
      <c r="D879" s="228"/>
      <c r="E879" s="228"/>
      <c r="F879" s="228"/>
      <c r="G879" s="71" t="str">
        <f ca="1">IFERROR(__xludf.DUMMYFUNCTION("IF(I890="""","""",FILTER(DATOS!$D$4:$D$237,DATOS!$B$4:$B$237=I890))"),"06-063")</f>
        <v>06-063</v>
      </c>
      <c r="H879" s="71" t="str">
        <f ca="1">IFERROR(__xludf.DUMMYFUNCTION("IF(I890="""","""",FILTER(DATOS!$C$4:$C$237,DATOS!$B$4:$B$237=I890))"),"TUNJUELITO")</f>
        <v>TUNJUELITO</v>
      </c>
      <c r="I879" s="35" t="s">
        <v>87</v>
      </c>
      <c r="J879" s="36" t="s">
        <v>283</v>
      </c>
      <c r="K879" s="30">
        <v>2325017.0300000003</v>
      </c>
      <c r="L879" s="57"/>
    </row>
    <row r="880" spans="1:12" ht="15.75" customHeight="1">
      <c r="A880" s="214"/>
      <c r="B880" s="228"/>
      <c r="C880" s="228"/>
      <c r="D880" s="228"/>
      <c r="E880" s="228"/>
      <c r="F880" s="228"/>
      <c r="G880" s="71" t="str">
        <f ca="1">IFERROR(__xludf.DUMMYFUNCTION("IF(I891="""","""",FILTER(DATOS!$D$4:$D$237,DATOS!$B$4:$B$237=I891))"),"06-063")</f>
        <v>06-063</v>
      </c>
      <c r="H880" s="71" t="str">
        <f ca="1">IFERROR(__xludf.DUMMYFUNCTION("IF(I891="""","""",FILTER(DATOS!$C$4:$C$237,DATOS!$B$4:$B$237=I891))"),"TUNJUELITO")</f>
        <v>TUNJUELITO</v>
      </c>
      <c r="I880" s="35" t="s">
        <v>87</v>
      </c>
      <c r="J880" s="36" t="s">
        <v>283</v>
      </c>
      <c r="K880" s="30">
        <v>2318483.1799999997</v>
      </c>
      <c r="L880" s="57"/>
    </row>
    <row r="881" spans="1:12" ht="15.75" customHeight="1">
      <c r="A881" s="214"/>
      <c r="B881" s="228"/>
      <c r="C881" s="228"/>
      <c r="D881" s="228"/>
      <c r="E881" s="228"/>
      <c r="F881" s="228"/>
      <c r="G881" s="71" t="str">
        <f ca="1">IFERROR(__xludf.DUMMYFUNCTION("IF(I892="""","""",FILTER(DATOS!$D$4:$D$237,DATOS!$B$4:$B$237=I892))"),"06-005")</f>
        <v>06-005</v>
      </c>
      <c r="H881" s="71" t="str">
        <f ca="1">IFERROR(__xludf.DUMMYFUNCTION("IF(I892="""","""",FILTER(DATOS!$C$4:$C$237,DATOS!$B$4:$B$237=I892))"),"TUNJUELITO")</f>
        <v>TUNJUELITO</v>
      </c>
      <c r="I881" s="35" t="s">
        <v>372</v>
      </c>
      <c r="J881" s="36" t="s">
        <v>283</v>
      </c>
      <c r="K881" s="30">
        <v>2885961.9000000004</v>
      </c>
      <c r="L881" s="57"/>
    </row>
    <row r="882" spans="1:12" ht="15.75" customHeight="1">
      <c r="A882" s="214"/>
      <c r="B882" s="228"/>
      <c r="C882" s="228"/>
      <c r="D882" s="228"/>
      <c r="E882" s="228"/>
      <c r="F882" s="228"/>
      <c r="G882" s="71" t="str">
        <f ca="1">IFERROR(__xludf.DUMMYFUNCTION("IF(I893="""","""",FILTER(DATOS!$D$4:$D$237,DATOS!$B$4:$B$237=I893))"),"06-017")</f>
        <v>06-017</v>
      </c>
      <c r="H882" s="71" t="str">
        <f ca="1">IFERROR(__xludf.DUMMYFUNCTION("IF(I893="""","""",FILTER(DATOS!$C$4:$C$237,DATOS!$B$4:$B$237=I893))"),"TUNJUELITO")</f>
        <v>TUNJUELITO</v>
      </c>
      <c r="I882" s="35" t="s">
        <v>117</v>
      </c>
      <c r="J882" s="36" t="s">
        <v>306</v>
      </c>
      <c r="K882" s="30">
        <v>5974910.1799999997</v>
      </c>
      <c r="L882" s="57"/>
    </row>
    <row r="883" spans="1:12" ht="15.75" customHeight="1">
      <c r="A883" s="214"/>
      <c r="B883" s="228"/>
      <c r="C883" s="228"/>
      <c r="D883" s="228"/>
      <c r="E883" s="228"/>
      <c r="F883" s="228"/>
      <c r="G883" s="71" t="str">
        <f ca="1">IFERROR(__xludf.DUMMYFUNCTION("IF(I894="""","""",FILTER(DATOS!$D$4:$D$237,DATOS!$B$4:$B$237=I894))"),"06-063")</f>
        <v>06-063</v>
      </c>
      <c r="H883" s="71" t="str">
        <f ca="1">IFERROR(__xludf.DUMMYFUNCTION("IF(I894="""","""",FILTER(DATOS!$C$4:$C$237,DATOS!$B$4:$B$237=I894))"),"TUNJUELITO")</f>
        <v>TUNJUELITO</v>
      </c>
      <c r="I883" s="35" t="s">
        <v>87</v>
      </c>
      <c r="J883" s="36" t="s">
        <v>283</v>
      </c>
      <c r="K883" s="30">
        <v>2340828.98</v>
      </c>
      <c r="L883" s="57"/>
    </row>
    <row r="884" spans="1:12" ht="15.75" customHeight="1">
      <c r="A884" s="214"/>
      <c r="B884" s="228"/>
      <c r="C884" s="228"/>
      <c r="D884" s="228"/>
      <c r="E884" s="228"/>
      <c r="F884" s="228"/>
      <c r="G884" s="71" t="str">
        <f ca="1">IFERROR(__xludf.DUMMYFUNCTION("IF(I895="""","""",FILTER(DATOS!$D$4:$D$237,DATOS!$B$4:$B$237=I895))"),"06-006")</f>
        <v>06-006</v>
      </c>
      <c r="H884" s="71" t="str">
        <f ca="1">IFERROR(__xludf.DUMMYFUNCTION("IF(I895="""","""",FILTER(DATOS!$C$4:$C$237,DATOS!$B$4:$B$237=I895))"),"TUNJUELITO")</f>
        <v>TUNJUELITO</v>
      </c>
      <c r="I884" s="35" t="s">
        <v>373</v>
      </c>
      <c r="J884" s="36" t="s">
        <v>283</v>
      </c>
      <c r="K884" s="30">
        <v>2870716.26</v>
      </c>
      <c r="L884" s="57"/>
    </row>
    <row r="885" spans="1:12" ht="15.75" customHeight="1">
      <c r="A885" s="214"/>
      <c r="B885" s="228"/>
      <c r="C885" s="228"/>
      <c r="D885" s="228"/>
      <c r="E885" s="228"/>
      <c r="F885" s="228"/>
      <c r="G885" s="71" t="str">
        <f ca="1">IFERROR(__xludf.DUMMYFUNCTION("IF(I896="""","""",FILTER(DATOS!$D$4:$D$237,DATOS!$B$4:$B$237=I896))"),"06-006")</f>
        <v>06-006</v>
      </c>
      <c r="H885" s="71" t="str">
        <f ca="1">IFERROR(__xludf.DUMMYFUNCTION("IF(I896="""","""",FILTER(DATOS!$C$4:$C$237,DATOS!$B$4:$B$237=I896))"),"TUNJUELITO")</f>
        <v>TUNJUELITO</v>
      </c>
      <c r="I885" s="35" t="s">
        <v>373</v>
      </c>
      <c r="J885" s="36" t="s">
        <v>283</v>
      </c>
      <c r="K885" s="30">
        <v>2870716.26</v>
      </c>
      <c r="L885" s="57"/>
    </row>
    <row r="886" spans="1:12" ht="15.75" customHeight="1">
      <c r="A886" s="214"/>
      <c r="B886" s="228"/>
      <c r="C886" s="228"/>
      <c r="D886" s="228"/>
      <c r="E886" s="228"/>
      <c r="F886" s="228"/>
      <c r="G886" s="71" t="str">
        <f ca="1">IFERROR(__xludf.DUMMYFUNCTION("IF(I897="""","""",FILTER(DATOS!$D$4:$D$237,DATOS!$B$4:$B$237=I897))"),"06-012")</f>
        <v>06-012</v>
      </c>
      <c r="H886" s="71" t="str">
        <f ca="1">IFERROR(__xludf.DUMMYFUNCTION("IF(I897="""","""",FILTER(DATOS!$C$4:$C$237,DATOS!$B$4:$B$237=I897))"),"TUNJUELITO")</f>
        <v>TUNJUELITO</v>
      </c>
      <c r="I886" s="35" t="s">
        <v>374</v>
      </c>
      <c r="J886" s="36" t="s">
        <v>283</v>
      </c>
      <c r="K886" s="30">
        <v>2336908.6500000004</v>
      </c>
      <c r="L886" s="57"/>
    </row>
    <row r="887" spans="1:12" ht="15.75" customHeight="1">
      <c r="A887" s="214"/>
      <c r="B887" s="228"/>
      <c r="C887" s="228"/>
      <c r="D887" s="228"/>
      <c r="E887" s="228"/>
      <c r="F887" s="228"/>
      <c r="G887" s="71" t="str">
        <f ca="1">IFERROR(__xludf.DUMMYFUNCTION("IF(I898="""","""",FILTER(DATOS!$D$4:$D$237,DATOS!$B$4:$B$237=I898))"),"01-031")</f>
        <v>01-031</v>
      </c>
      <c r="H887" s="71" t="str">
        <f ca="1">IFERROR(__xludf.DUMMYFUNCTION("IF(I898="""","""",FILTER(DATOS!$C$4:$C$237,DATOS!$B$4:$B$237=I898))"),"USAQUEN")</f>
        <v>USAQUEN</v>
      </c>
      <c r="I887" s="35" t="s">
        <v>375</v>
      </c>
      <c r="J887" s="36" t="s">
        <v>306</v>
      </c>
      <c r="K887" s="30">
        <v>5216274.2</v>
      </c>
      <c r="L887" s="57"/>
    </row>
    <row r="888" spans="1:12" ht="15.75" customHeight="1">
      <c r="A888" s="214"/>
      <c r="B888" s="228"/>
      <c r="C888" s="228"/>
      <c r="D888" s="228"/>
      <c r="E888" s="228"/>
      <c r="F888" s="228"/>
      <c r="G888" s="71" t="str">
        <f ca="1">IFERROR(__xludf.DUMMYFUNCTION("IF(I899="""","""",FILTER(DATOS!$D$4:$D$237,DATOS!$B$4:$B$237=I899))"),"01-189")</f>
        <v>01-189</v>
      </c>
      <c r="H888" s="71" t="str">
        <f ca="1">IFERROR(__xludf.DUMMYFUNCTION("IF(I899="""","""",FILTER(DATOS!$C$4:$C$237,DATOS!$B$4:$B$237=I899))"),"USAQUEN")</f>
        <v>USAQUEN</v>
      </c>
      <c r="I888" s="35" t="s">
        <v>376</v>
      </c>
      <c r="J888" s="36" t="s">
        <v>306</v>
      </c>
      <c r="K888" s="30">
        <v>3952160.7499999995</v>
      </c>
      <c r="L888" s="57"/>
    </row>
    <row r="889" spans="1:12" ht="15.75" customHeight="1">
      <c r="A889" s="214"/>
      <c r="B889" s="228"/>
      <c r="C889" s="228"/>
      <c r="D889" s="228"/>
      <c r="E889" s="228"/>
      <c r="F889" s="228"/>
      <c r="G889" s="71" t="str">
        <f ca="1">IFERROR(__xludf.DUMMYFUNCTION("IF(I900="""","""",FILTER(DATOS!$D$4:$D$237,DATOS!$B$4:$B$237=I900))"),"01-023")</f>
        <v>01-023</v>
      </c>
      <c r="H889" s="71" t="str">
        <f ca="1">IFERROR(__xludf.DUMMYFUNCTION("IF(I900="""","""",FILTER(DATOS!$C$4:$C$237,DATOS!$B$4:$B$237=I900))"),"USAQUEN")</f>
        <v>USAQUEN</v>
      </c>
      <c r="I889" s="35" t="s">
        <v>58</v>
      </c>
      <c r="J889" s="36" t="s">
        <v>283</v>
      </c>
      <c r="K889" s="30">
        <v>2929520.91</v>
      </c>
      <c r="L889" s="57"/>
    </row>
    <row r="890" spans="1:12" ht="15.75" customHeight="1">
      <c r="A890" s="214"/>
      <c r="B890" s="228"/>
      <c r="C890" s="228"/>
      <c r="D890" s="228"/>
      <c r="E890" s="228"/>
      <c r="F890" s="228"/>
      <c r="G890" s="71" t="str">
        <f ca="1">IFERROR(__xludf.DUMMYFUNCTION("IF(I901="""","""",FILTER(DATOS!$D$4:$D$237,DATOS!$B$4:$B$237=I901))"),"01-023")</f>
        <v>01-023</v>
      </c>
      <c r="H890" s="71" t="str">
        <f ca="1">IFERROR(__xludf.DUMMYFUNCTION("IF(I901="""","""",FILTER(DATOS!$C$4:$C$237,DATOS!$B$4:$B$237=I901))"),"USAQUEN")</f>
        <v>USAQUEN</v>
      </c>
      <c r="I890" s="35" t="s">
        <v>58</v>
      </c>
      <c r="J890" s="36" t="s">
        <v>283</v>
      </c>
      <c r="K890" s="30">
        <v>2867231.5500000003</v>
      </c>
      <c r="L890" s="57"/>
    </row>
    <row r="891" spans="1:12" ht="15.75" customHeight="1">
      <c r="A891" s="214"/>
      <c r="B891" s="228"/>
      <c r="C891" s="228"/>
      <c r="D891" s="228"/>
      <c r="E891" s="228"/>
      <c r="F891" s="228"/>
      <c r="G891" s="71" t="str">
        <f ca="1">IFERROR(__xludf.DUMMYFUNCTION("IF(I902="""","""",FILTER(DATOS!$D$4:$D$237,DATOS!$B$4:$B$237=I902))"),"01-079")</f>
        <v>01-079</v>
      </c>
      <c r="H891" s="71" t="str">
        <f ca="1">IFERROR(__xludf.DUMMYFUNCTION("IF(I902="""","""",FILTER(DATOS!$C$4:$C$237,DATOS!$B$4:$B$237=I902))"),"USAQUEN")</f>
        <v>USAQUEN</v>
      </c>
      <c r="I891" s="35" t="s">
        <v>377</v>
      </c>
      <c r="J891" s="36" t="s">
        <v>306</v>
      </c>
      <c r="K891" s="30">
        <v>4991061.0600000005</v>
      </c>
      <c r="L891" s="57"/>
    </row>
    <row r="892" spans="1:12" ht="15.75" customHeight="1">
      <c r="A892" s="214"/>
      <c r="B892" s="228"/>
      <c r="C892" s="228"/>
      <c r="D892" s="228"/>
      <c r="E892" s="228"/>
      <c r="F892" s="228"/>
      <c r="G892" s="71" t="str">
        <f ca="1">IFERROR(__xludf.DUMMYFUNCTION("IF(I903="""","""",FILTER(DATOS!$D$4:$D$237,DATOS!$B$4:$B$237=I903))"),"01-540")</f>
        <v>01-540</v>
      </c>
      <c r="H892" s="71" t="str">
        <f ca="1">IFERROR(__xludf.DUMMYFUNCTION("IF(I903="""","""",FILTER(DATOS!$C$4:$C$237,DATOS!$B$4:$B$237=I903))"),"USAQUEN")</f>
        <v>USAQUEN</v>
      </c>
      <c r="I892" s="35" t="s">
        <v>378</v>
      </c>
      <c r="J892" s="36" t="s">
        <v>306</v>
      </c>
      <c r="K892" s="30">
        <v>3962354.1099999994</v>
      </c>
      <c r="L892" s="57"/>
    </row>
    <row r="893" spans="1:12" ht="15.75" customHeight="1">
      <c r="A893" s="214"/>
      <c r="B893" s="228"/>
      <c r="C893" s="228"/>
      <c r="D893" s="228"/>
      <c r="E893" s="228"/>
      <c r="F893" s="228"/>
      <c r="G893" s="71" t="str">
        <f ca="1">IFERROR(__xludf.DUMMYFUNCTION("IF(I904="""","""",FILTER(DATOS!$D$4:$D$237,DATOS!$B$4:$B$237=I904))"),"01-110")</f>
        <v>01-110</v>
      </c>
      <c r="H893" s="71" t="str">
        <f ca="1">IFERROR(__xludf.DUMMYFUNCTION("IF(I904="""","""",FILTER(DATOS!$C$4:$C$237,DATOS!$B$4:$B$237=I904))"),"USAQUEN")</f>
        <v>USAQUEN</v>
      </c>
      <c r="I893" s="35" t="s">
        <v>379</v>
      </c>
      <c r="J893" s="36" t="s">
        <v>283</v>
      </c>
      <c r="K893" s="30">
        <v>2871587.44</v>
      </c>
      <c r="L893" s="57"/>
    </row>
    <row r="894" spans="1:12" ht="15.75" customHeight="1">
      <c r="A894" s="214"/>
      <c r="B894" s="228"/>
      <c r="C894" s="228"/>
      <c r="D894" s="228"/>
      <c r="E894" s="228"/>
      <c r="F894" s="228"/>
      <c r="G894" s="71" t="str">
        <f ca="1">IFERROR(__xludf.DUMMYFUNCTION("IF(I905="""","""",FILTER(DATOS!$D$4:$D$237,DATOS!$B$4:$B$237=I905))"),"05-141")</f>
        <v>05-141</v>
      </c>
      <c r="H894" s="71" t="str">
        <f ca="1">IFERROR(__xludf.DUMMYFUNCTION("IF(I905="""","""",FILTER(DATOS!$C$4:$C$237,DATOS!$B$4:$B$237=I905))"),"USME")</f>
        <v>USME</v>
      </c>
      <c r="I894" s="35" t="s">
        <v>380</v>
      </c>
      <c r="J894" s="36" t="s">
        <v>283</v>
      </c>
      <c r="K894" s="30">
        <v>2303687.66</v>
      </c>
      <c r="L894" s="57"/>
    </row>
    <row r="895" spans="1:12" ht="15.75" customHeight="1">
      <c r="A895" s="214"/>
      <c r="B895" s="228"/>
      <c r="C895" s="228"/>
      <c r="D895" s="228"/>
      <c r="E895" s="228"/>
      <c r="F895" s="228"/>
      <c r="G895" s="71" t="str">
        <f ca="1">IFERROR(__xludf.DUMMYFUNCTION("IF(I906="""","""",FILTER(DATOS!$D$4:$D$237,DATOS!$B$4:$B$237=I906))"),"05-002")</f>
        <v>05-002</v>
      </c>
      <c r="H895" s="71" t="str">
        <f ca="1">IFERROR(__xludf.DUMMYFUNCTION("IF(I906="""","""",FILTER(DATOS!$C$4:$C$237,DATOS!$B$4:$B$237=I906))"),"USME")</f>
        <v>USME</v>
      </c>
      <c r="I895" s="35" t="s">
        <v>102</v>
      </c>
      <c r="J895" s="36" t="s">
        <v>306</v>
      </c>
      <c r="K895" s="30">
        <v>6445141.96</v>
      </c>
      <c r="L895" s="57"/>
    </row>
    <row r="896" spans="1:12" ht="15.75" customHeight="1">
      <c r="A896" s="214"/>
      <c r="B896" s="228"/>
      <c r="C896" s="228"/>
      <c r="D896" s="228"/>
      <c r="E896" s="228"/>
      <c r="F896" s="228"/>
      <c r="G896" s="71" t="str">
        <f ca="1">IFERROR(__xludf.DUMMYFUNCTION("IF(I907="""","""",FILTER(DATOS!$D$4:$D$237,DATOS!$B$4:$B$237=I907))"),"05-042")</f>
        <v>05-042</v>
      </c>
      <c r="H896" s="71" t="str">
        <f ca="1">IFERROR(__xludf.DUMMYFUNCTION("IF(I907="""","""",FILTER(DATOS!$C$4:$C$237,DATOS!$B$4:$B$237=I907))"),"USME")</f>
        <v>USME</v>
      </c>
      <c r="I896" s="35" t="s">
        <v>381</v>
      </c>
      <c r="J896" s="36" t="s">
        <v>306</v>
      </c>
      <c r="K896" s="30">
        <v>3784560.6500000004</v>
      </c>
      <c r="L896" s="57"/>
    </row>
    <row r="897" spans="1:12" ht="15.75" customHeight="1">
      <c r="A897" s="214"/>
      <c r="B897" s="228"/>
      <c r="C897" s="228"/>
      <c r="D897" s="228"/>
      <c r="E897" s="228"/>
      <c r="F897" s="228"/>
      <c r="G897" s="71" t="str">
        <f ca="1">IFERROR(__xludf.DUMMYFUNCTION("IF(I908="""","""",FILTER(DATOS!$D$4:$D$237,DATOS!$B$4:$B$237=I908))"),"05-042")</f>
        <v>05-042</v>
      </c>
      <c r="H897" s="71" t="str">
        <f ca="1">IFERROR(__xludf.DUMMYFUNCTION("IF(I908="""","""",FILTER(DATOS!$C$4:$C$237,DATOS!$B$4:$B$237=I908))"),"USME")</f>
        <v>USME</v>
      </c>
      <c r="I897" s="35" t="s">
        <v>381</v>
      </c>
      <c r="J897" s="36" t="s">
        <v>283</v>
      </c>
      <c r="K897" s="30">
        <v>2873474.98</v>
      </c>
      <c r="L897" s="57"/>
    </row>
    <row r="898" spans="1:12" ht="15.75" customHeight="1">
      <c r="A898" s="214"/>
      <c r="B898" s="228"/>
      <c r="C898" s="228"/>
      <c r="D898" s="228"/>
      <c r="E898" s="228"/>
      <c r="F898" s="228"/>
      <c r="G898" s="71" t="str">
        <f ca="1">IFERROR(__xludf.DUMMYFUNCTION("IF(I909="""","""",FILTER(DATOS!$D$4:$D$237,DATOS!$B$4:$B$237=I909))"),"05-042")</f>
        <v>05-042</v>
      </c>
      <c r="H898" s="71" t="str">
        <f ca="1">IFERROR(__xludf.DUMMYFUNCTION("IF(I909="""","""",FILTER(DATOS!$C$4:$C$237,DATOS!$B$4:$B$237=I909))"),"USME")</f>
        <v>USME</v>
      </c>
      <c r="I898" s="35" t="s">
        <v>381</v>
      </c>
      <c r="J898" s="36" t="s">
        <v>283</v>
      </c>
      <c r="K898" s="30">
        <v>2869409.49</v>
      </c>
      <c r="L898" s="57"/>
    </row>
    <row r="899" spans="1:12" ht="15.75" customHeight="1">
      <c r="A899" s="214"/>
      <c r="B899" s="228"/>
      <c r="C899" s="228"/>
      <c r="D899" s="228"/>
      <c r="E899" s="228"/>
      <c r="F899" s="228"/>
      <c r="G899" s="71" t="str">
        <f ca="1">IFERROR(__xludf.DUMMYFUNCTION("IF(I910="""","""",FILTER(DATOS!$D$4:$D$237,DATOS!$B$4:$B$237=I910))"),"05-476")</f>
        <v>05-476</v>
      </c>
      <c r="H899" s="71" t="str">
        <f ca="1">IFERROR(__xludf.DUMMYFUNCTION("IF(I910="""","""",FILTER(DATOS!$C$4:$C$237,DATOS!$B$4:$B$237=I910))"),"USME")</f>
        <v>USME</v>
      </c>
      <c r="I899" s="35" t="s">
        <v>382</v>
      </c>
      <c r="J899" s="36" t="s">
        <v>283</v>
      </c>
      <c r="K899" s="30">
        <v>2299447.92</v>
      </c>
      <c r="L899" s="57"/>
    </row>
    <row r="900" spans="1:12" ht="15.75" customHeight="1">
      <c r="A900" s="214"/>
      <c r="B900" s="228"/>
      <c r="C900" s="228"/>
      <c r="D900" s="228"/>
      <c r="E900" s="228"/>
      <c r="F900" s="228"/>
      <c r="G900" s="71" t="str">
        <f ca="1">IFERROR(__xludf.DUMMYFUNCTION("IF(I911="""","""",FILTER(DATOS!$D$4:$D$237,DATOS!$B$4:$B$237=I911))"),"05-476")</f>
        <v>05-476</v>
      </c>
      <c r="H900" s="71" t="str">
        <f ca="1">IFERROR(__xludf.DUMMYFUNCTION("IF(I911="""","""",FILTER(DATOS!$C$4:$C$237,DATOS!$B$4:$B$237=I911))"),"USME")</f>
        <v>USME</v>
      </c>
      <c r="I900" s="35" t="s">
        <v>382</v>
      </c>
      <c r="J900" s="36" t="s">
        <v>283</v>
      </c>
      <c r="K900" s="30">
        <v>2296834.3499999996</v>
      </c>
      <c r="L900" s="57"/>
    </row>
    <row r="901" spans="1:12" ht="15.75" customHeight="1">
      <c r="A901" s="214"/>
      <c r="B901" s="228"/>
      <c r="C901" s="228"/>
      <c r="D901" s="228"/>
      <c r="E901" s="228"/>
      <c r="F901" s="228"/>
      <c r="G901" s="71" t="str">
        <f ca="1">IFERROR(__xludf.DUMMYFUNCTION("IF(I912="""","""",FILTER(DATOS!$D$4:$D$237,DATOS!$B$4:$B$237=I912))"),"05-459")</f>
        <v>05-459</v>
      </c>
      <c r="H901" s="71" t="str">
        <f ca="1">IFERROR(__xludf.DUMMYFUNCTION("IF(I912="""","""",FILTER(DATOS!$C$4:$C$237,DATOS!$B$4:$B$237=I912))"),"USME")</f>
        <v>USME</v>
      </c>
      <c r="I901" s="35" t="s">
        <v>383</v>
      </c>
      <c r="J901" s="36" t="s">
        <v>283</v>
      </c>
      <c r="K901" s="30">
        <v>2299883.4900000002</v>
      </c>
      <c r="L901" s="57"/>
    </row>
    <row r="902" spans="1:12" ht="15.75" customHeight="1">
      <c r="A902" s="214"/>
      <c r="B902" s="228"/>
      <c r="C902" s="228"/>
      <c r="D902" s="228"/>
      <c r="E902" s="228"/>
      <c r="F902" s="228"/>
      <c r="G902" s="71" t="str">
        <f ca="1">IFERROR(__xludf.DUMMYFUNCTION("IF(I913="""","""",FILTER(DATOS!$D$4:$D$237,DATOS!$B$4:$B$237=I913))"),"05-003")</f>
        <v>05-003</v>
      </c>
      <c r="H902" s="71" t="str">
        <f ca="1">IFERROR(__xludf.DUMMYFUNCTION("IF(I913="""","""",FILTER(DATOS!$C$4:$C$237,DATOS!$B$4:$B$237=I913))"),"USME")</f>
        <v>USME</v>
      </c>
      <c r="I902" s="35" t="s">
        <v>133</v>
      </c>
      <c r="J902" s="36" t="s">
        <v>283</v>
      </c>
      <c r="K902" s="30">
        <v>2876814.54</v>
      </c>
      <c r="L902" s="57"/>
    </row>
    <row r="903" spans="1:12" ht="15.75" customHeight="1">
      <c r="A903" s="214"/>
      <c r="B903" s="228"/>
      <c r="C903" s="228"/>
      <c r="D903" s="228"/>
      <c r="E903" s="228"/>
      <c r="F903" s="228"/>
      <c r="G903" s="71" t="str">
        <f ca="1">IFERROR(__xludf.DUMMYFUNCTION("IF(I914="""","""",FILTER(DATOS!$D$4:$D$237,DATOS!$B$4:$B$237=I914))"),"05-087")</f>
        <v>05-087</v>
      </c>
      <c r="H903" s="71" t="str">
        <f ca="1">IFERROR(__xludf.DUMMYFUNCTION("IF(I914="""","""",FILTER(DATOS!$C$4:$C$237,DATOS!$B$4:$B$237=I914))"),"USME")</f>
        <v>USME</v>
      </c>
      <c r="I903" s="35" t="s">
        <v>135</v>
      </c>
      <c r="J903" s="36" t="s">
        <v>283</v>
      </c>
      <c r="K903" s="30">
        <v>2301190.2599999998</v>
      </c>
      <c r="L903" s="57"/>
    </row>
    <row r="904" spans="1:12" ht="15.75" customHeight="1">
      <c r="A904" s="214"/>
      <c r="B904" s="228"/>
      <c r="C904" s="228"/>
      <c r="D904" s="228"/>
      <c r="E904" s="228"/>
      <c r="F904" s="228"/>
      <c r="G904" s="71" t="str">
        <f ca="1">IFERROR(__xludf.DUMMYFUNCTION("IF(I915="""","""",FILTER(DATOS!$D$4:$D$237,DATOS!$B$4:$B$237=I915))"),"17-028")</f>
        <v>17-028</v>
      </c>
      <c r="H904" s="71" t="str">
        <f ca="1">IFERROR(__xludf.DUMMYFUNCTION("IF(I915="""","""",FILTER(DATOS!$C$4:$C$237,DATOS!$B$4:$B$237=I915))"),"CANDELARIA")</f>
        <v>CANDELARIA</v>
      </c>
      <c r="I904" s="35" t="s">
        <v>141</v>
      </c>
      <c r="J904" s="36" t="s">
        <v>283</v>
      </c>
      <c r="K904" s="30">
        <v>2290300.5</v>
      </c>
      <c r="L904" s="57"/>
    </row>
    <row r="905" spans="1:12" ht="15.75" customHeight="1">
      <c r="A905" s="214"/>
      <c r="B905" s="228"/>
      <c r="C905" s="228"/>
      <c r="D905" s="228"/>
      <c r="E905" s="228"/>
      <c r="F905" s="228"/>
      <c r="G905" s="71" t="str">
        <f ca="1">IFERROR(__xludf.DUMMYFUNCTION("IF(I916="""","""",FILTER(DATOS!$D$4:$D$237,DATOS!$B$4:$B$237=I916))"),"08-065")</f>
        <v>08-065</v>
      </c>
      <c r="H905" s="71" t="str">
        <f ca="1">IFERROR(__xludf.DUMMYFUNCTION("IF(I916="""","""",FILTER(DATOS!$C$4:$C$237,DATOS!$B$4:$B$237=I916))"),"KENNEDY")</f>
        <v>KENNEDY</v>
      </c>
      <c r="I905" s="35" t="s">
        <v>384</v>
      </c>
      <c r="J905" s="36" t="s">
        <v>283</v>
      </c>
      <c r="K905" s="30">
        <v>592757.47</v>
      </c>
      <c r="L905" s="57"/>
    </row>
    <row r="906" spans="1:12" ht="15.75" customHeight="1">
      <c r="A906" s="214"/>
      <c r="B906" s="228"/>
      <c r="C906" s="228"/>
      <c r="D906" s="228"/>
      <c r="E906" s="228"/>
      <c r="F906" s="228"/>
      <c r="G906" s="71" t="str">
        <f ca="1">IFERROR(__xludf.DUMMYFUNCTION("IF(I917="""","""",FILTER(DATOS!$D$4:$D$237,DATOS!$B$4:$B$237=I917))"),"06-063")</f>
        <v>06-063</v>
      </c>
      <c r="H906" s="71" t="str">
        <f ca="1">IFERROR(__xludf.DUMMYFUNCTION("IF(I917="""","""",FILTER(DATOS!$C$4:$C$237,DATOS!$B$4:$B$237=I917))"),"TUNJUELITO")</f>
        <v>TUNJUELITO</v>
      </c>
      <c r="I906" s="35" t="s">
        <v>87</v>
      </c>
      <c r="J906" s="90" t="s">
        <v>385</v>
      </c>
      <c r="K906" s="30">
        <v>17637145.620000001</v>
      </c>
      <c r="L906" s="57"/>
    </row>
    <row r="907" spans="1:12" ht="15.75" customHeight="1">
      <c r="A907" s="214"/>
      <c r="B907" s="228"/>
      <c r="C907" s="228"/>
      <c r="D907" s="228"/>
      <c r="E907" s="228"/>
      <c r="F907" s="228"/>
      <c r="G907" s="71" t="str">
        <f ca="1">IFERROR(__xludf.DUMMYFUNCTION("IF(I918="""","""",FILTER(DATOS!$D$4:$D$237,DATOS!$B$4:$B$237=I918))"),"06-063")</f>
        <v>06-063</v>
      </c>
      <c r="H907" s="71" t="str">
        <f ca="1">IFERROR(__xludf.DUMMYFUNCTION("IF(I918="""","""",FILTER(DATOS!$C$4:$C$237,DATOS!$B$4:$B$237=I918))"),"TUNJUELITO")</f>
        <v>TUNJUELITO</v>
      </c>
      <c r="I907" s="35" t="s">
        <v>87</v>
      </c>
      <c r="J907" s="36" t="s">
        <v>386</v>
      </c>
      <c r="K907" s="30">
        <v>8476217.5800000001</v>
      </c>
      <c r="L907" s="57"/>
    </row>
    <row r="908" spans="1:12" ht="15.75" customHeight="1">
      <c r="A908" s="214"/>
      <c r="B908" s="228"/>
      <c r="C908" s="228"/>
      <c r="D908" s="228"/>
      <c r="E908" s="228"/>
      <c r="F908" s="228"/>
      <c r="G908" s="71" t="str">
        <f ca="1">IFERROR(__xludf.DUMMYFUNCTION("IF(I919="""","""",FILTER(DATOS!$D$4:$D$237,DATOS!$B$4:$B$237=I919))"),"08-219")</f>
        <v>08-219</v>
      </c>
      <c r="H908" s="71" t="str">
        <f ca="1">IFERROR(__xludf.DUMMYFUNCTION("IF(I919="""","""",FILTER(DATOS!$C$4:$C$237,DATOS!$B$4:$B$237=I919))"),"KENNEDY")</f>
        <v>KENNEDY</v>
      </c>
      <c r="I908" s="35" t="s">
        <v>132</v>
      </c>
      <c r="J908" s="36" t="s">
        <v>387</v>
      </c>
      <c r="K908" s="30">
        <v>29792852.510000002</v>
      </c>
      <c r="L908" s="57"/>
    </row>
    <row r="909" spans="1:12" ht="15.75" customHeight="1">
      <c r="A909" s="214"/>
      <c r="B909" s="228"/>
      <c r="C909" s="228"/>
      <c r="D909" s="228"/>
      <c r="E909" s="228"/>
      <c r="F909" s="228"/>
      <c r="G909" s="71" t="str">
        <f ca="1">IFERROR(__xludf.DUMMYFUNCTION("IF(I920="""","""",FILTER(DATOS!$D$4:$D$237,DATOS!$B$4:$B$237=I920))"),"09-104")</f>
        <v>09-104</v>
      </c>
      <c r="H909" s="71" t="str">
        <f ca="1">IFERROR(__xludf.DUMMYFUNCTION("IF(I920="""","""",FILTER(DATOS!$C$4:$C$237,DATOS!$B$4:$B$237=I920))"),"FONTIBON")</f>
        <v>FONTIBON</v>
      </c>
      <c r="I909" s="35" t="s">
        <v>21</v>
      </c>
      <c r="J909" s="36" t="s">
        <v>388</v>
      </c>
      <c r="K909" s="30">
        <v>91539891.439999998</v>
      </c>
      <c r="L909" s="57"/>
    </row>
    <row r="910" spans="1:12" ht="15.75" customHeight="1">
      <c r="A910" s="214"/>
      <c r="B910" s="228"/>
      <c r="C910" s="228"/>
      <c r="D910" s="228"/>
      <c r="E910" s="228"/>
      <c r="F910" s="228"/>
      <c r="G910" s="71" t="str">
        <f ca="1">IFERROR(__xludf.DUMMYFUNCTION("IF(I921="""","""",FILTER(DATOS!$D$4:$D$237,DATOS!$B$4:$B$237=I921))"),"12-091")</f>
        <v>12-091</v>
      </c>
      <c r="H910" s="71" t="str">
        <f ca="1">IFERROR(__xludf.DUMMYFUNCTION("IF(I921="""","""",FILTER(DATOS!$C$4:$C$237,DATOS!$B$4:$B$237=I921))"),"BARRIOS UNIDOS")</f>
        <v>BARRIOS UNIDOS</v>
      </c>
      <c r="I910" s="35" t="s">
        <v>53</v>
      </c>
      <c r="J910" s="36" t="s">
        <v>389</v>
      </c>
      <c r="K910" s="30">
        <v>97859566.020000011</v>
      </c>
      <c r="L910" s="57"/>
    </row>
    <row r="911" spans="1:12" ht="15.75" customHeight="1">
      <c r="A911" s="214"/>
      <c r="B911" s="228"/>
      <c r="C911" s="228"/>
      <c r="D911" s="228"/>
      <c r="E911" s="228"/>
      <c r="F911" s="228"/>
      <c r="G911" s="71" t="str">
        <f ca="1">IFERROR(__xludf.DUMMYFUNCTION("IF(I922="""","""",FILTER(DATOS!$D$4:$D$237,DATOS!$B$4:$B$237=I922))"),"12-091")</f>
        <v>12-091</v>
      </c>
      <c r="H911" s="71" t="str">
        <f ca="1">IFERROR(__xludf.DUMMYFUNCTION("IF(I922="""","""",FILTER(DATOS!$C$4:$C$237,DATOS!$B$4:$B$237=I922))"),"BARRIOS UNIDOS")</f>
        <v>BARRIOS UNIDOS</v>
      </c>
      <c r="I911" s="35" t="s">
        <v>53</v>
      </c>
      <c r="J911" s="36" t="s">
        <v>278</v>
      </c>
      <c r="K911" s="30">
        <v>10652803.420000002</v>
      </c>
      <c r="L911" s="57"/>
    </row>
    <row r="912" spans="1:12" ht="15.75" customHeight="1">
      <c r="A912" s="214"/>
      <c r="B912" s="228"/>
      <c r="C912" s="228"/>
      <c r="D912" s="228"/>
      <c r="E912" s="228"/>
      <c r="F912" s="228"/>
      <c r="G912" s="71" t="str">
        <f ca="1">IFERROR(__xludf.DUMMYFUNCTION("IF(I923="""","""",FILTER(DATOS!$D$4:$D$237,DATOS!$B$4:$B$237=I923))"),"12-091")</f>
        <v>12-091</v>
      </c>
      <c r="H912" s="71" t="str">
        <f ca="1">IFERROR(__xludf.DUMMYFUNCTION("IF(I923="""","""",FILTER(DATOS!$C$4:$C$237,DATOS!$B$4:$B$237=I923))"),"BARRIOS UNIDOS")</f>
        <v>BARRIOS UNIDOS</v>
      </c>
      <c r="I912" s="35" t="s">
        <v>53</v>
      </c>
      <c r="J912" s="36" t="s">
        <v>390</v>
      </c>
      <c r="K912" s="30">
        <v>2406314.2999999998</v>
      </c>
      <c r="L912" s="57"/>
    </row>
    <row r="913" spans="1:12" ht="15.75" customHeight="1">
      <c r="A913" s="214"/>
      <c r="B913" s="228"/>
      <c r="C913" s="228"/>
      <c r="D913" s="228"/>
      <c r="E913" s="228"/>
      <c r="F913" s="228"/>
      <c r="G913" s="71" t="str">
        <f ca="1">IFERROR(__xludf.DUMMYFUNCTION("IF(I924="""","""",FILTER(DATOS!$D$4:$D$237,DATOS!$B$4:$B$237=I924))"),"10-192")</f>
        <v>10-192</v>
      </c>
      <c r="H913" s="71" t="str">
        <f ca="1">IFERROR(__xludf.DUMMYFUNCTION("IF(I924="""","""",FILTER(DATOS!$C$4:$C$237,DATOS!$B$4:$B$237=I924))"),"ENGATIVA")</f>
        <v>ENGATIVA</v>
      </c>
      <c r="I913" s="35" t="s">
        <v>33</v>
      </c>
      <c r="J913" s="36" t="s">
        <v>391</v>
      </c>
      <c r="K913" s="30">
        <v>68188266.219999999</v>
      </c>
      <c r="L913" s="57"/>
    </row>
    <row r="914" spans="1:12" ht="15.75" customHeight="1">
      <c r="A914" s="214"/>
      <c r="B914" s="228"/>
      <c r="C914" s="228"/>
      <c r="D914" s="228"/>
      <c r="E914" s="228"/>
      <c r="F914" s="228"/>
      <c r="G914" s="88" t="str">
        <f ca="1">IFERROR(__xludf.DUMMYFUNCTION("IF(I925="""","""",FILTER(DATOS!$D$4:$D$237,DATOS!$B$4:$B$237=I925))"),"01-1000")</f>
        <v>01-1000</v>
      </c>
      <c r="H914" s="88" t="str">
        <f ca="1">IFERROR(__xludf.DUMMYFUNCTION("IF(I925="""","""",FILTER(DATOS!$C$4:$C$237,DATOS!$B$4:$B$237=I925))"),"USAQUEN")</f>
        <v>USAQUEN</v>
      </c>
      <c r="I914" s="35" t="s">
        <v>29</v>
      </c>
      <c r="J914" s="36" t="s">
        <v>314</v>
      </c>
      <c r="K914" s="30">
        <v>67379819.950000003</v>
      </c>
      <c r="L914" s="57"/>
    </row>
    <row r="915" spans="1:12" ht="15.75" customHeight="1">
      <c r="A915" s="214"/>
      <c r="B915" s="228"/>
      <c r="C915" s="228"/>
      <c r="D915" s="228"/>
      <c r="E915" s="228"/>
      <c r="F915" s="228"/>
      <c r="G915" s="71" t="str">
        <f ca="1">IFERROR(__xludf.DUMMYFUNCTION("IF(I926="""","""",FILTER(DATOS!$D$4:$D$237,DATOS!$B$4:$B$237=I926))"),"10-290")</f>
        <v>10-290</v>
      </c>
      <c r="H915" s="71" t="str">
        <f ca="1">IFERROR(__xludf.DUMMYFUNCTION("IF(I926="""","""",FILTER(DATOS!$C$4:$C$237,DATOS!$B$4:$B$237=I926))"),"ENGATIVA")</f>
        <v>ENGATIVA</v>
      </c>
      <c r="I915" s="35" t="s">
        <v>62</v>
      </c>
      <c r="J915" s="36" t="s">
        <v>392</v>
      </c>
      <c r="K915" s="30">
        <v>9385090.7699999996</v>
      </c>
      <c r="L915" s="57"/>
    </row>
    <row r="916" spans="1:12" ht="15.75" customHeight="1">
      <c r="A916" s="214"/>
      <c r="B916" s="228"/>
      <c r="C916" s="228"/>
      <c r="D916" s="228"/>
      <c r="E916" s="228"/>
      <c r="F916" s="228"/>
      <c r="G916" s="71" t="str">
        <f ca="1">IFERROR(__xludf.DUMMYFUNCTION("IF(I927="""","""",FILTER(DATOS!$D$4:$D$237,DATOS!$B$4:$B$237=I927))"),"10-290")</f>
        <v>10-290</v>
      </c>
      <c r="H916" s="71" t="str">
        <f ca="1">IFERROR(__xludf.DUMMYFUNCTION("IF(I927="""","""",FILTER(DATOS!$C$4:$C$237,DATOS!$B$4:$B$237=I927))"),"ENGATIVA")</f>
        <v>ENGATIVA</v>
      </c>
      <c r="I916" s="35" t="s">
        <v>62</v>
      </c>
      <c r="J916" s="36" t="s">
        <v>393</v>
      </c>
      <c r="K916" s="30">
        <v>4969205.5599999996</v>
      </c>
      <c r="L916" s="57"/>
    </row>
    <row r="917" spans="1:12" ht="15.75" customHeight="1">
      <c r="A917" s="214"/>
      <c r="B917" s="228"/>
      <c r="C917" s="228"/>
      <c r="D917" s="228"/>
      <c r="E917" s="228"/>
      <c r="F917" s="228"/>
      <c r="G917" s="71" t="str">
        <f ca="1">IFERROR(__xludf.DUMMYFUNCTION("IF(I928="""","""",FILTER(DATOS!$D$4:$D$237,DATOS!$B$4:$B$237=I928))"),"10-290")</f>
        <v>10-290</v>
      </c>
      <c r="H917" s="71" t="str">
        <f ca="1">IFERROR(__xludf.DUMMYFUNCTION("IF(I928="""","""",FILTER(DATOS!$C$4:$C$237,DATOS!$B$4:$B$237=I928))"),"ENGATIVA")</f>
        <v>ENGATIVA</v>
      </c>
      <c r="I917" s="35" t="s">
        <v>62</v>
      </c>
      <c r="J917" s="36" t="s">
        <v>394</v>
      </c>
      <c r="K917" s="30">
        <v>4979272.53</v>
      </c>
      <c r="L917" s="57"/>
    </row>
    <row r="918" spans="1:12" ht="15.75" customHeight="1">
      <c r="A918" s="214"/>
      <c r="B918" s="228"/>
      <c r="C918" s="228"/>
      <c r="D918" s="228"/>
      <c r="E918" s="228"/>
      <c r="F918" s="228"/>
      <c r="G918" s="71" t="str">
        <f ca="1">IFERROR(__xludf.DUMMYFUNCTION("IF(I929="""","""",FILTER(DATOS!$D$4:$D$237,DATOS!$B$4:$B$237=I929))"),"10-290")</f>
        <v>10-290</v>
      </c>
      <c r="H918" s="71" t="str">
        <f ca="1">IFERROR(__xludf.DUMMYFUNCTION("IF(I929="""","""",FILTER(DATOS!$C$4:$C$237,DATOS!$B$4:$B$237=I929))"),"ENGATIVA")</f>
        <v>ENGATIVA</v>
      </c>
      <c r="I918" s="35" t="s">
        <v>62</v>
      </c>
      <c r="J918" s="36" t="s">
        <v>395</v>
      </c>
      <c r="K918" s="30">
        <v>8601202.879999999</v>
      </c>
      <c r="L918" s="57"/>
    </row>
    <row r="919" spans="1:12" ht="15.75" customHeight="1">
      <c r="A919" s="214"/>
      <c r="B919" s="228"/>
      <c r="C919" s="228"/>
      <c r="D919" s="228"/>
      <c r="E919" s="228"/>
      <c r="F919" s="228"/>
      <c r="G919" s="71" t="str">
        <f ca="1">IFERROR(__xludf.DUMMYFUNCTION("IF(I930="""","""",FILTER(DATOS!$D$4:$D$237,DATOS!$B$4:$B$237=I930))"),"10-290")</f>
        <v>10-290</v>
      </c>
      <c r="H919" s="71" t="str">
        <f ca="1">IFERROR(__xludf.DUMMYFUNCTION("IF(I930="""","""",FILTER(DATOS!$C$4:$C$237,DATOS!$B$4:$B$237=I930))"),"ENGATIVA")</f>
        <v>ENGATIVA</v>
      </c>
      <c r="I919" s="35" t="s">
        <v>62</v>
      </c>
      <c r="J919" s="36" t="s">
        <v>396</v>
      </c>
      <c r="K919" s="30">
        <v>144966.96</v>
      </c>
      <c r="L919" s="57"/>
    </row>
    <row r="920" spans="1:12" ht="15.75" customHeight="1">
      <c r="A920" s="214"/>
      <c r="B920" s="228"/>
      <c r="C920" s="228"/>
      <c r="D920" s="228"/>
      <c r="E920" s="228"/>
      <c r="F920" s="228"/>
      <c r="G920" s="71" t="str">
        <f ca="1">IFERROR(__xludf.DUMMYFUNCTION("IF(I931="""","""",FILTER(DATOS!$D$4:$D$237,DATOS!$B$4:$B$237=I931))"),"04-127")</f>
        <v>04-127</v>
      </c>
      <c r="H920" s="71" t="str">
        <f ca="1">IFERROR(__xludf.DUMMYFUNCTION("IF(I931="""","""",FILTER(DATOS!$C$4:$C$237,DATOS!$B$4:$B$237=I931))"),"SAN CRISTOBAL")</f>
        <v>SAN CRISTOBAL</v>
      </c>
      <c r="I920" s="35" t="s">
        <v>123</v>
      </c>
      <c r="J920" s="36" t="s">
        <v>284</v>
      </c>
      <c r="K920" s="30">
        <v>13813047.090000002</v>
      </c>
      <c r="L920" s="57"/>
    </row>
    <row r="921" spans="1:12" ht="15.75" customHeight="1">
      <c r="A921" s="214"/>
      <c r="B921" s="228"/>
      <c r="C921" s="228"/>
      <c r="D921" s="228"/>
      <c r="E921" s="228"/>
      <c r="F921" s="228"/>
      <c r="G921" s="71" t="str">
        <f ca="1">IFERROR(__xludf.DUMMYFUNCTION("IF(I932="""","""",FILTER(DATOS!$D$4:$D$237,DATOS!$B$4:$B$237=I932))"),"03-035")</f>
        <v>03-035</v>
      </c>
      <c r="H921" s="71" t="str">
        <f ca="1">IFERROR(__xludf.DUMMYFUNCTION("IF(I932="""","""",FILTER(DATOS!$C$4:$C$237,DATOS!$B$4:$B$237=I932))"),"SANTAFE")</f>
        <v>SANTAFE</v>
      </c>
      <c r="I921" s="35" t="s">
        <v>46</v>
      </c>
      <c r="J921" s="36" t="s">
        <v>284</v>
      </c>
      <c r="K921" s="30">
        <v>7833015.5999999996</v>
      </c>
      <c r="L921" s="57"/>
    </row>
    <row r="922" spans="1:12" ht="15.75" customHeight="1">
      <c r="A922" s="214"/>
      <c r="B922" s="228"/>
      <c r="C922" s="228"/>
      <c r="D922" s="228"/>
      <c r="E922" s="228"/>
      <c r="F922" s="228"/>
      <c r="G922" s="71" t="str">
        <f ca="1">IFERROR(__xludf.DUMMYFUNCTION("IF(I933="""","""",FILTER(DATOS!$D$4:$D$237,DATOS!$B$4:$B$237=I933))"),"16-112")</f>
        <v>16-112</v>
      </c>
      <c r="H922" s="71" t="str">
        <f ca="1">IFERROR(__xludf.DUMMYFUNCTION("IF(I933="""","""",FILTER(DATOS!$C$4:$C$237,DATOS!$B$4:$B$237=I933))"),"PUENTE ARANDA")</f>
        <v>PUENTE ARANDA</v>
      </c>
      <c r="I922" s="35" t="s">
        <v>79</v>
      </c>
      <c r="J922" s="36" t="s">
        <v>280</v>
      </c>
      <c r="K922" s="30">
        <v>7833015.6000000006</v>
      </c>
      <c r="L922" s="57"/>
    </row>
    <row r="923" spans="1:12" ht="15.75" customHeight="1">
      <c r="A923" s="214"/>
      <c r="B923" s="228"/>
      <c r="C923" s="228"/>
      <c r="D923" s="228"/>
      <c r="E923" s="228"/>
      <c r="F923" s="228"/>
      <c r="G923" s="71" t="str">
        <f ca="1">IFERROR(__xludf.DUMMYFUNCTION("IF(I934="""","""",FILTER(DATOS!$D$4:$D$237,DATOS!$B$4:$B$237=I934))"),"16-112")</f>
        <v>16-112</v>
      </c>
      <c r="H923" s="71" t="str">
        <f ca="1">IFERROR(__xludf.DUMMYFUNCTION("IF(I934="""","""",FILTER(DATOS!$C$4:$C$237,DATOS!$B$4:$B$237=I934))"),"PUENTE ARANDA")</f>
        <v>PUENTE ARANDA</v>
      </c>
      <c r="I923" s="35" t="s">
        <v>79</v>
      </c>
      <c r="J923" s="36" t="s">
        <v>397</v>
      </c>
      <c r="K923" s="30">
        <v>12827437.48</v>
      </c>
      <c r="L923" s="57"/>
    </row>
    <row r="924" spans="1:12" ht="15.75" customHeight="1">
      <c r="A924" s="214"/>
      <c r="B924" s="228"/>
      <c r="C924" s="228"/>
      <c r="D924" s="228"/>
      <c r="E924" s="228"/>
      <c r="F924" s="228"/>
      <c r="G924" s="71" t="str">
        <f ca="1">IFERROR(__xludf.DUMMYFUNCTION("IF(I935="""","""",FILTER(DATOS!$D$4:$D$237,DATOS!$B$4:$B$237=I935))"),"16-112")</f>
        <v>16-112</v>
      </c>
      <c r="H924" s="71" t="str">
        <f ca="1">IFERROR(__xludf.DUMMYFUNCTION("IF(I935="""","""",FILTER(DATOS!$C$4:$C$237,DATOS!$B$4:$B$237=I935))"),"PUENTE ARANDA")</f>
        <v>PUENTE ARANDA</v>
      </c>
      <c r="I924" s="35" t="s">
        <v>79</v>
      </c>
      <c r="J924" s="36" t="s">
        <v>398</v>
      </c>
      <c r="K924" s="30">
        <v>171489.57</v>
      </c>
      <c r="L924" s="57"/>
    </row>
    <row r="925" spans="1:12" ht="15.75" customHeight="1">
      <c r="A925" s="214"/>
      <c r="B925" s="228"/>
      <c r="C925" s="228"/>
      <c r="D925" s="228"/>
      <c r="E925" s="228"/>
      <c r="F925" s="228"/>
      <c r="G925" s="71" t="str">
        <f ca="1">IFERROR(__xludf.DUMMYFUNCTION("IF(I936="""","""",FILTER(DATOS!$D$4:$D$237,DATOS!$B$4:$B$237=I936))"),"16-024")</f>
        <v>16-024</v>
      </c>
      <c r="H925" s="71" t="str">
        <f ca="1">IFERROR(__xludf.DUMMYFUNCTION("IF(I936="""","""",FILTER(DATOS!$C$4:$C$237,DATOS!$B$4:$B$237=I936))"),"PUENTE ARANDA")</f>
        <v>PUENTE ARANDA</v>
      </c>
      <c r="I925" s="35" t="s">
        <v>91</v>
      </c>
      <c r="J925" s="36" t="s">
        <v>399</v>
      </c>
      <c r="K925" s="30">
        <v>30211305.09</v>
      </c>
      <c r="L925" s="57"/>
    </row>
    <row r="926" spans="1:12" ht="15.75" customHeight="1">
      <c r="A926" s="214"/>
      <c r="B926" s="228"/>
      <c r="C926" s="228"/>
      <c r="D926" s="228"/>
      <c r="E926" s="228"/>
      <c r="F926" s="228"/>
      <c r="G926" s="71" t="str">
        <f ca="1">IFERROR(__xludf.DUMMYFUNCTION("IF(I937="""","""",FILTER(DATOS!$D$4:$D$237,DATOS!$B$4:$B$237=I937))"),"16-099")</f>
        <v>16-099</v>
      </c>
      <c r="H926" s="71" t="str">
        <f ca="1">IFERROR(__xludf.DUMMYFUNCTION("IF(I937="""","""",FILTER(DATOS!$C$4:$C$237,DATOS!$B$4:$B$237=I937))"),"PUENTE ARANDA")</f>
        <v>PUENTE ARANDA</v>
      </c>
      <c r="I926" s="35" t="s">
        <v>112</v>
      </c>
      <c r="J926" s="36" t="s">
        <v>399</v>
      </c>
      <c r="K926" s="30">
        <v>8799876.7200000007</v>
      </c>
      <c r="L926" s="57"/>
    </row>
    <row r="927" spans="1:12" ht="15.75" customHeight="1">
      <c r="A927" s="214"/>
      <c r="B927" s="228"/>
      <c r="C927" s="228"/>
      <c r="D927" s="228"/>
      <c r="E927" s="228"/>
      <c r="F927" s="228"/>
      <c r="G927" s="71" t="str">
        <f ca="1">IFERROR(__xludf.DUMMYFUNCTION("IF(I938="""","""",FILTER(DATOS!$D$4:$D$237,DATOS!$B$4:$B$237=I938))"),"06-017")</f>
        <v>06-017</v>
      </c>
      <c r="H927" s="71" t="str">
        <f ca="1">IFERROR(__xludf.DUMMYFUNCTION("IF(I938="""","""",FILTER(DATOS!$C$4:$C$237,DATOS!$B$4:$B$237=I938))"),"TUNJUELITO")</f>
        <v>TUNJUELITO</v>
      </c>
      <c r="I927" s="35" t="s">
        <v>117</v>
      </c>
      <c r="J927" s="36" t="s">
        <v>399</v>
      </c>
      <c r="K927" s="30">
        <v>7833015.6000000006</v>
      </c>
      <c r="L927" s="57"/>
    </row>
    <row r="928" spans="1:12" ht="15.75" customHeight="1">
      <c r="A928" s="214"/>
      <c r="B928" s="228"/>
      <c r="C928" s="228"/>
      <c r="D928" s="228"/>
      <c r="E928" s="228"/>
      <c r="F928" s="228"/>
      <c r="G928" s="71" t="str">
        <f ca="1">IFERROR(__xludf.DUMMYFUNCTION("IF(I939="""","""",FILTER(DATOS!$D$4:$D$237,DATOS!$B$4:$B$237=I939))"),"10-223")</f>
        <v>10-223</v>
      </c>
      <c r="H928" s="71" t="str">
        <f ca="1">IFERROR(__xludf.DUMMYFUNCTION("IF(I939="""","""",FILTER(DATOS!$C$4:$C$237,DATOS!$B$4:$B$237=I939))"),"ENGATIVA")</f>
        <v>ENGATIVA</v>
      </c>
      <c r="I928" s="35" t="s">
        <v>41</v>
      </c>
      <c r="J928" s="36" t="s">
        <v>399</v>
      </c>
      <c r="K928" s="30">
        <v>7833015.6000000006</v>
      </c>
      <c r="L928" s="57"/>
    </row>
    <row r="929" spans="1:12" ht="15.75" customHeight="1">
      <c r="A929" s="214"/>
      <c r="B929" s="228"/>
      <c r="C929" s="228"/>
      <c r="D929" s="228"/>
      <c r="E929" s="228"/>
      <c r="F929" s="228"/>
      <c r="G929" s="71" t="str">
        <f ca="1">IFERROR(__xludf.DUMMYFUNCTION("IF(I940="""","""",FILTER(DATOS!$D$4:$D$237,DATOS!$B$4:$B$237=I940))"),"16-037")</f>
        <v>16-037</v>
      </c>
      <c r="H929" s="71" t="str">
        <f ca="1">IFERROR(__xludf.DUMMYFUNCTION("IF(I940="""","""",FILTER(DATOS!$C$4:$C$237,DATOS!$B$4:$B$237=I940))"),"PUENTE ARANDA")</f>
        <v>PUENTE ARANDA</v>
      </c>
      <c r="I929" s="35" t="s">
        <v>400</v>
      </c>
      <c r="J929" s="36" t="s">
        <v>399</v>
      </c>
      <c r="K929" s="30">
        <v>8799876.7200000007</v>
      </c>
      <c r="L929" s="57"/>
    </row>
    <row r="930" spans="1:12" ht="15.75" customHeight="1">
      <c r="A930" s="214"/>
      <c r="B930" s="228"/>
      <c r="C930" s="228"/>
      <c r="D930" s="228"/>
      <c r="E930" s="228"/>
      <c r="F930" s="228"/>
      <c r="G930" s="71" t="str">
        <f ca="1">IFERROR(__xludf.DUMMYFUNCTION("IF(I941="""","""",FILTER(DATOS!$D$4:$D$237,DATOS!$B$4:$B$237=I941))"),"10-186")</f>
        <v>10-186</v>
      </c>
      <c r="H930" s="71" t="str">
        <f ca="1">IFERROR(__xludf.DUMMYFUNCTION("IF(I941="""","""",FILTER(DATOS!$C$4:$C$237,DATOS!$B$4:$B$237=I941))"),"ENGATIVA")</f>
        <v>ENGATIVA</v>
      </c>
      <c r="I930" s="35" t="s">
        <v>401</v>
      </c>
      <c r="J930" s="36" t="s">
        <v>402</v>
      </c>
      <c r="K930" s="30">
        <v>3975364.4499999997</v>
      </c>
      <c r="L930" s="57"/>
    </row>
    <row r="931" spans="1:12" ht="15.75" customHeight="1">
      <c r="A931" s="214"/>
      <c r="B931" s="228"/>
      <c r="C931" s="228"/>
      <c r="D931" s="228"/>
      <c r="E931" s="228"/>
      <c r="F931" s="228"/>
      <c r="G931" s="71" t="str">
        <f ca="1">IFERROR(__xludf.DUMMYFUNCTION("IF(I942="""","""",FILTER(DATOS!$D$4:$D$237,DATOS!$B$4:$B$237=I942))"),"10-171")</f>
        <v>10-171</v>
      </c>
      <c r="H931" s="71" t="str">
        <f ca="1">IFERROR(__xludf.DUMMYFUNCTION("IF(I942="""","""",FILTER(DATOS!$C$4:$C$237,DATOS!$B$4:$B$237=I942))"),"ENGATIVA")</f>
        <v>ENGATIVA</v>
      </c>
      <c r="I931" s="35" t="s">
        <v>37</v>
      </c>
      <c r="J931" s="36" t="s">
        <v>280</v>
      </c>
      <c r="K931" s="30">
        <v>14234126.190000001</v>
      </c>
      <c r="L931" s="57"/>
    </row>
    <row r="932" spans="1:12" ht="15.75" customHeight="1">
      <c r="A932" s="214"/>
      <c r="B932" s="228"/>
      <c r="C932" s="228"/>
      <c r="D932" s="228"/>
      <c r="E932" s="228"/>
      <c r="F932" s="228"/>
      <c r="G932" s="71" t="str">
        <f ca="1">IFERROR(__xludf.DUMMYFUNCTION("IF(I943="""","""",FILTER(DATOS!$D$4:$D$237,DATOS!$B$4:$B$237=I943))"),"09-104")</f>
        <v>09-104</v>
      </c>
      <c r="H932" s="71" t="str">
        <f ca="1">IFERROR(__xludf.DUMMYFUNCTION("IF(I943="""","""",FILTER(DATOS!$C$4:$C$237,DATOS!$B$4:$B$237=I943))"),"FONTIBON")</f>
        <v>FONTIBON</v>
      </c>
      <c r="I932" s="35" t="s">
        <v>21</v>
      </c>
      <c r="J932" s="36" t="s">
        <v>399</v>
      </c>
      <c r="K932" s="30">
        <v>14099428.090000002</v>
      </c>
      <c r="L932" s="57"/>
    </row>
    <row r="933" spans="1:12" ht="15.75" customHeight="1">
      <c r="A933" s="214"/>
      <c r="B933" s="228"/>
      <c r="C933" s="228"/>
      <c r="D933" s="228"/>
      <c r="E933" s="228"/>
      <c r="F933" s="228"/>
      <c r="G933" s="71" t="str">
        <f ca="1">IFERROR(__xludf.DUMMYFUNCTION("IF(I944="""","""",FILTER(DATOS!$D$4:$D$237,DATOS!$B$4:$B$237=I944))"),"08-066")</f>
        <v>08-066</v>
      </c>
      <c r="H933" s="71" t="str">
        <f ca="1">IFERROR(__xludf.DUMMYFUNCTION("IF(I944="""","""",FILTER(DATOS!$C$4:$C$237,DATOS!$B$4:$B$237=I944))"),"KENNEDY")</f>
        <v>KENNEDY</v>
      </c>
      <c r="I933" s="35" t="s">
        <v>110</v>
      </c>
      <c r="J933" s="36" t="s">
        <v>399</v>
      </c>
      <c r="K933" s="30">
        <v>7049714.04</v>
      </c>
      <c r="L933" s="57"/>
    </row>
    <row r="934" spans="1:12" ht="15.75" customHeight="1">
      <c r="A934" s="214"/>
      <c r="B934" s="228"/>
      <c r="C934" s="228"/>
      <c r="D934" s="228"/>
      <c r="E934" s="228"/>
      <c r="F934" s="228"/>
      <c r="G934" s="88" t="str">
        <f ca="1">IFERROR(__xludf.DUMMYFUNCTION("IF(I945="""","""",FILTER(DATOS!$D$4:$D$237,DATOS!$B$4:$B$237=I945))"),"12-1000")</f>
        <v>12-1000</v>
      </c>
      <c r="H934" s="88" t="str">
        <f ca="1">IFERROR(__xludf.DUMMYFUNCTION("IF(I945="""","""",FILTER(DATOS!$C$4:$C$237,DATOS!$B$4:$B$237=I945))"),"BARRIOS UNIDOS")</f>
        <v>BARRIOS UNIDOS</v>
      </c>
      <c r="I934" s="35" t="s">
        <v>28</v>
      </c>
      <c r="J934" s="36" t="s">
        <v>403</v>
      </c>
      <c r="K934" s="30">
        <v>141931.14000000001</v>
      </c>
      <c r="L934" s="57"/>
    </row>
    <row r="935" spans="1:12" ht="15.75" customHeight="1">
      <c r="A935" s="214"/>
      <c r="B935" s="228"/>
      <c r="C935" s="228"/>
      <c r="D935" s="228"/>
      <c r="E935" s="228"/>
      <c r="F935" s="228"/>
      <c r="G935" s="71" t="str">
        <f ca="1">IFERROR(__xludf.DUMMYFUNCTION("IF(I946="""","""",FILTER(DATOS!$D$4:$D$237,DATOS!$B$4:$B$237=I946))"),"11-205")</f>
        <v>11-205</v>
      </c>
      <c r="H935" s="71" t="str">
        <f ca="1">IFERROR(__xludf.DUMMYFUNCTION("IF(I946="""","""",FILTER(DATOS!$C$4:$C$237,DATOS!$B$4:$B$237=I946))"),"SUBA")</f>
        <v>SUBA</v>
      </c>
      <c r="I935" s="35" t="s">
        <v>39</v>
      </c>
      <c r="J935" s="36" t="s">
        <v>399</v>
      </c>
      <c r="K935" s="30">
        <v>7833015.6000000006</v>
      </c>
      <c r="L935" s="57"/>
    </row>
    <row r="936" spans="1:12" ht="15.75" customHeight="1">
      <c r="A936" s="214"/>
      <c r="B936" s="228"/>
      <c r="C936" s="228"/>
      <c r="D936" s="228"/>
      <c r="E936" s="228"/>
      <c r="F936" s="228"/>
      <c r="G936" s="71" t="str">
        <f ca="1">IFERROR(__xludf.DUMMYFUNCTION("IF(I947="""","""",FILTER(DATOS!$D$4:$D$237,DATOS!$B$4:$B$237=I947))"),"10-311")</f>
        <v>10-311</v>
      </c>
      <c r="H936" s="71" t="str">
        <f ca="1">IFERROR(__xludf.DUMMYFUNCTION("IF(I947="""","""",FILTER(DATOS!$C$4:$C$237,DATOS!$B$4:$B$237=I947))"),"ENGATIVA")</f>
        <v>ENGATIVA</v>
      </c>
      <c r="I936" s="35" t="s">
        <v>38</v>
      </c>
      <c r="J936" s="36" t="s">
        <v>404</v>
      </c>
      <c r="K936" s="30">
        <v>5617809.0300000003</v>
      </c>
      <c r="L936" s="57"/>
    </row>
    <row r="937" spans="1:12" ht="15.75" customHeight="1">
      <c r="A937" s="214"/>
      <c r="B937" s="228"/>
      <c r="C937" s="228"/>
      <c r="D937" s="228"/>
      <c r="E937" s="228"/>
      <c r="F937" s="228"/>
      <c r="G937" s="71" t="str">
        <f ca="1">IFERROR(__xludf.DUMMYFUNCTION("IF(I948="""","""",FILTER(DATOS!$D$4:$D$237,DATOS!$B$4:$B$237=I948))"),"10-311")</f>
        <v>10-311</v>
      </c>
      <c r="H937" s="71" t="str">
        <f ca="1">IFERROR(__xludf.DUMMYFUNCTION("IF(I948="""","""",FILTER(DATOS!$C$4:$C$237,DATOS!$B$4:$B$237=I948))"),"ENGATIVA")</f>
        <v>ENGATIVA</v>
      </c>
      <c r="I937" s="35" t="s">
        <v>38</v>
      </c>
      <c r="J937" s="36" t="s">
        <v>405</v>
      </c>
      <c r="K937" s="30">
        <v>5617809.0300000003</v>
      </c>
      <c r="L937" s="57"/>
    </row>
    <row r="938" spans="1:12" ht="15.75" customHeight="1">
      <c r="A938" s="214"/>
      <c r="B938" s="228"/>
      <c r="C938" s="228"/>
      <c r="D938" s="228"/>
      <c r="E938" s="228"/>
      <c r="F938" s="228"/>
      <c r="G938" s="71" t="str">
        <f ca="1">IFERROR(__xludf.DUMMYFUNCTION("IF(I949="""","""",FILTER(DATOS!$D$4:$D$237,DATOS!$B$4:$B$237=I949))"),"10-311")</f>
        <v>10-311</v>
      </c>
      <c r="H938" s="71" t="str">
        <f ca="1">IFERROR(__xludf.DUMMYFUNCTION("IF(I949="""","""",FILTER(DATOS!$C$4:$C$237,DATOS!$B$4:$B$237=I949))"),"ENGATIVA")</f>
        <v>ENGATIVA</v>
      </c>
      <c r="I938" s="35" t="s">
        <v>38</v>
      </c>
      <c r="J938" s="36" t="s">
        <v>406</v>
      </c>
      <c r="K938" s="30">
        <v>5617809.0300000003</v>
      </c>
      <c r="L938" s="57"/>
    </row>
    <row r="939" spans="1:12" ht="15.75" customHeight="1">
      <c r="A939" s="214"/>
      <c r="B939" s="228"/>
      <c r="C939" s="228"/>
      <c r="D939" s="228"/>
      <c r="E939" s="228"/>
      <c r="F939" s="228"/>
      <c r="G939" s="71" t="str">
        <f ca="1">IFERROR(__xludf.DUMMYFUNCTION("IF(I950="""","""",FILTER(DATOS!$D$4:$D$237,DATOS!$B$4:$B$237=I950))"),"10-311")</f>
        <v>10-311</v>
      </c>
      <c r="H939" s="71" t="str">
        <f ca="1">IFERROR(__xludf.DUMMYFUNCTION("IF(I950="""","""",FILTER(DATOS!$C$4:$C$237,DATOS!$B$4:$B$237=I950))"),"ENGATIVA")</f>
        <v>ENGATIVA</v>
      </c>
      <c r="I939" s="35" t="s">
        <v>38</v>
      </c>
      <c r="J939" s="36" t="s">
        <v>407</v>
      </c>
      <c r="K939" s="30">
        <v>5617809.0300000003</v>
      </c>
      <c r="L939" s="57"/>
    </row>
    <row r="940" spans="1:12" ht="15.75" customHeight="1">
      <c r="A940" s="214"/>
      <c r="B940" s="228"/>
      <c r="C940" s="228"/>
      <c r="D940" s="228"/>
      <c r="E940" s="228"/>
      <c r="F940" s="228"/>
      <c r="G940" s="71" t="str">
        <f ca="1">IFERROR(__xludf.DUMMYFUNCTION("IF(I951="""","""",FILTER(DATOS!$D$4:$D$237,DATOS!$B$4:$B$237=I951))"),"10-311")</f>
        <v>10-311</v>
      </c>
      <c r="H940" s="71" t="str">
        <f ca="1">IFERROR(__xludf.DUMMYFUNCTION("IF(I951="""","""",FILTER(DATOS!$C$4:$C$237,DATOS!$B$4:$B$237=I951))"),"ENGATIVA")</f>
        <v>ENGATIVA</v>
      </c>
      <c r="I940" s="35" t="s">
        <v>38</v>
      </c>
      <c r="J940" s="36" t="s">
        <v>408</v>
      </c>
      <c r="K940" s="30">
        <v>6114729.5900000008</v>
      </c>
      <c r="L940" s="57"/>
    </row>
    <row r="941" spans="1:12" ht="15.75" customHeight="1">
      <c r="A941" s="214"/>
      <c r="B941" s="228"/>
      <c r="C941" s="228"/>
      <c r="D941" s="228"/>
      <c r="E941" s="228"/>
      <c r="F941" s="228"/>
      <c r="G941" s="71" t="str">
        <f ca="1">IFERROR(__xludf.DUMMYFUNCTION("IF(I952="""","""",FILTER(DATOS!$D$4:$D$237,DATOS!$B$4:$B$237=I952))"),"10-311")</f>
        <v>10-311</v>
      </c>
      <c r="H941" s="71" t="str">
        <f ca="1">IFERROR(__xludf.DUMMYFUNCTION("IF(I952="""","""",FILTER(DATOS!$C$4:$C$237,DATOS!$B$4:$B$237=I952))"),"ENGATIVA")</f>
        <v>ENGATIVA</v>
      </c>
      <c r="I941" s="35" t="s">
        <v>38</v>
      </c>
      <c r="J941" s="36" t="s">
        <v>409</v>
      </c>
      <c r="K941" s="30">
        <v>6114729.5900000008</v>
      </c>
      <c r="L941" s="57"/>
    </row>
    <row r="942" spans="1:12" ht="15.75" customHeight="1">
      <c r="A942" s="214"/>
      <c r="B942" s="228"/>
      <c r="C942" s="228"/>
      <c r="D942" s="228"/>
      <c r="E942" s="228"/>
      <c r="F942" s="228"/>
      <c r="G942" s="71" t="str">
        <f ca="1">IFERROR(__xludf.DUMMYFUNCTION("IF(I953="""","""",FILTER(DATOS!$D$4:$D$237,DATOS!$B$4:$B$237=I953))"),"10-311")</f>
        <v>10-311</v>
      </c>
      <c r="H942" s="71" t="str">
        <f ca="1">IFERROR(__xludf.DUMMYFUNCTION("IF(I953="""","""",FILTER(DATOS!$C$4:$C$237,DATOS!$B$4:$B$237=I953))"),"ENGATIVA")</f>
        <v>ENGATIVA</v>
      </c>
      <c r="I942" s="35" t="s">
        <v>38</v>
      </c>
      <c r="J942" s="36" t="s">
        <v>410</v>
      </c>
      <c r="K942" s="30">
        <v>5617809.0300000003</v>
      </c>
      <c r="L942" s="57"/>
    </row>
    <row r="943" spans="1:12" ht="15.75" customHeight="1">
      <c r="A943" s="214"/>
      <c r="B943" s="228"/>
      <c r="C943" s="228"/>
      <c r="D943" s="228"/>
      <c r="E943" s="228"/>
      <c r="F943" s="228"/>
      <c r="G943" s="71" t="str">
        <f ca="1">IFERROR(__xludf.DUMMYFUNCTION("IF(I954="""","""",FILTER(DATOS!$D$4:$D$237,DATOS!$B$4:$B$237=I954))"),"10-311")</f>
        <v>10-311</v>
      </c>
      <c r="H943" s="71" t="str">
        <f ca="1">IFERROR(__xludf.DUMMYFUNCTION("IF(I954="""","""",FILTER(DATOS!$C$4:$C$237,DATOS!$B$4:$B$237=I954))"),"ENGATIVA")</f>
        <v>ENGATIVA</v>
      </c>
      <c r="I943" s="35" t="s">
        <v>38</v>
      </c>
      <c r="J943" s="36" t="s">
        <v>411</v>
      </c>
      <c r="K943" s="30">
        <v>5617809.0300000003</v>
      </c>
      <c r="L943" s="57"/>
    </row>
    <row r="944" spans="1:12" ht="15.75" customHeight="1">
      <c r="A944" s="214"/>
      <c r="B944" s="228"/>
      <c r="C944" s="228"/>
      <c r="D944" s="228"/>
      <c r="E944" s="228"/>
      <c r="F944" s="228"/>
      <c r="G944" s="71" t="str">
        <f ca="1">IFERROR(__xludf.DUMMYFUNCTION("IF(I955="""","""",FILTER(DATOS!$D$4:$D$237,DATOS!$B$4:$B$237=I955))"),"10-311")</f>
        <v>10-311</v>
      </c>
      <c r="H944" s="71" t="str">
        <f ca="1">IFERROR(__xludf.DUMMYFUNCTION("IF(I955="""","""",FILTER(DATOS!$C$4:$C$237,DATOS!$B$4:$B$237=I955))"),"ENGATIVA")</f>
        <v>ENGATIVA</v>
      </c>
      <c r="I944" s="35" t="s">
        <v>38</v>
      </c>
      <c r="J944" s="36" t="s">
        <v>412</v>
      </c>
      <c r="K944" s="30">
        <v>5617809.0300000003</v>
      </c>
      <c r="L944" s="57"/>
    </row>
    <row r="945" spans="1:12" ht="15.75" customHeight="1">
      <c r="A945" s="214"/>
      <c r="B945" s="228"/>
      <c r="C945" s="228"/>
      <c r="D945" s="228"/>
      <c r="E945" s="228"/>
      <c r="F945" s="228"/>
      <c r="G945" s="71" t="str">
        <f ca="1">IFERROR(__xludf.DUMMYFUNCTION("IF(I956="""","""",FILTER(DATOS!$D$4:$D$237,DATOS!$B$4:$B$237=I956))"),"10-311")</f>
        <v>10-311</v>
      </c>
      <c r="H945" s="71" t="str">
        <f ca="1">IFERROR(__xludf.DUMMYFUNCTION("IF(I956="""","""",FILTER(DATOS!$C$4:$C$237,DATOS!$B$4:$B$237=I956))"),"ENGATIVA")</f>
        <v>ENGATIVA</v>
      </c>
      <c r="I945" s="35" t="s">
        <v>38</v>
      </c>
      <c r="J945" s="36" t="s">
        <v>413</v>
      </c>
      <c r="K945" s="30">
        <v>6114729.5899999999</v>
      </c>
      <c r="L945" s="57"/>
    </row>
    <row r="946" spans="1:12" ht="15.75" customHeight="1">
      <c r="A946" s="214"/>
      <c r="B946" s="228"/>
      <c r="C946" s="228"/>
      <c r="D946" s="228"/>
      <c r="E946" s="228"/>
      <c r="F946" s="228"/>
      <c r="G946" s="71" t="str">
        <f ca="1">IFERROR(__xludf.DUMMYFUNCTION("IF(I957="""","""",FILTER(DATOS!$D$4:$D$237,DATOS!$B$4:$B$237=I957))"),"10-311")</f>
        <v>10-311</v>
      </c>
      <c r="H946" s="71" t="str">
        <f ca="1">IFERROR(__xludf.DUMMYFUNCTION("IF(I957="""","""",FILTER(DATOS!$C$4:$C$237,DATOS!$B$4:$B$237=I957))"),"ENGATIVA")</f>
        <v>ENGATIVA</v>
      </c>
      <c r="I946" s="35" t="s">
        <v>38</v>
      </c>
      <c r="J946" s="36" t="s">
        <v>414</v>
      </c>
      <c r="K946" s="30">
        <v>6114729.5899999999</v>
      </c>
      <c r="L946" s="57"/>
    </row>
    <row r="947" spans="1:12" ht="15.75" customHeight="1">
      <c r="A947" s="214"/>
      <c r="B947" s="228"/>
      <c r="C947" s="228"/>
      <c r="D947" s="228"/>
      <c r="E947" s="228"/>
      <c r="F947" s="228"/>
      <c r="G947" s="71" t="str">
        <f ca="1">IFERROR(__xludf.DUMMYFUNCTION("IF(I958="""","""",FILTER(DATOS!$D$4:$D$237,DATOS!$B$4:$B$237=I958))"),"07-164")</f>
        <v>07-164</v>
      </c>
      <c r="H947" s="71" t="str">
        <f ca="1">IFERROR(__xludf.DUMMYFUNCTION("IF(I958="""","""",FILTER(DATOS!$C$4:$C$237,DATOS!$B$4:$B$237=I958))"),"BOSA")</f>
        <v>BOSA</v>
      </c>
      <c r="I947" s="35" t="s">
        <v>85</v>
      </c>
      <c r="J947" s="36" t="s">
        <v>280</v>
      </c>
      <c r="K947" s="30">
        <v>7833015.5999999996</v>
      </c>
      <c r="L947" s="57"/>
    </row>
    <row r="948" spans="1:12" ht="15.75" customHeight="1">
      <c r="A948" s="214"/>
      <c r="B948" s="228"/>
      <c r="C948" s="228"/>
      <c r="D948" s="228"/>
      <c r="E948" s="228"/>
      <c r="F948" s="228"/>
      <c r="G948" s="71" t="str">
        <f ca="1">IFERROR(__xludf.DUMMYFUNCTION("IF(I959="""","""",FILTER(DATOS!$D$4:$D$237,DATOS!$B$4:$B$237=I959))"),"07-152")</f>
        <v>07-152</v>
      </c>
      <c r="H948" s="71" t="str">
        <f ca="1">IFERROR(__xludf.DUMMYFUNCTION("IF(I959="""","""",FILTER(DATOS!$C$4:$C$237,DATOS!$B$4:$B$237=I959))"),"BOSA")</f>
        <v>BOSA</v>
      </c>
      <c r="I948" s="35" t="s">
        <v>92</v>
      </c>
      <c r="J948" s="36" t="s">
        <v>280</v>
      </c>
      <c r="K948" s="30">
        <v>7049714.040000001</v>
      </c>
      <c r="L948" s="57"/>
    </row>
    <row r="949" spans="1:12" ht="15.75" customHeight="1" thickBot="1">
      <c r="A949" s="186"/>
      <c r="B949" s="229"/>
      <c r="C949" s="229"/>
      <c r="D949" s="229"/>
      <c r="E949" s="229"/>
      <c r="F949" s="229"/>
      <c r="G949" s="70"/>
      <c r="H949" s="70"/>
      <c r="I949" s="81"/>
      <c r="J949" s="93"/>
      <c r="K949" s="94">
        <v>0</v>
      </c>
      <c r="L949" s="57"/>
    </row>
    <row r="950" spans="1:12" ht="15.75" customHeight="1">
      <c r="A950" s="226" t="s">
        <v>415</v>
      </c>
      <c r="B950" s="227" t="s">
        <v>416</v>
      </c>
      <c r="C950" s="227" t="s">
        <v>417</v>
      </c>
      <c r="D950" s="230">
        <v>45289</v>
      </c>
      <c r="E950" s="230">
        <v>45624</v>
      </c>
      <c r="F950" s="231">
        <v>1</v>
      </c>
      <c r="G950" s="21" t="str">
        <f ca="1">IFERROR(__xludf.DUMMYFUNCTION("IF(I961="""","""",FILTER(DATOS!$D$4:$D$237,DATOS!$B$4:$B$237=I961))"),"04-127")</f>
        <v>04-127</v>
      </c>
      <c r="H950" s="21" t="str">
        <f ca="1">IFERROR(__xludf.DUMMYFUNCTION("IF(I961="""","""",FILTER(DATOS!$C$4:$C$237,DATOS!$B$4:$B$237=I961))"),"SAN CRISTOBAL")</f>
        <v>SAN CRISTOBAL</v>
      </c>
      <c r="I950" s="77" t="s">
        <v>124</v>
      </c>
      <c r="J950" s="77" t="s">
        <v>418</v>
      </c>
      <c r="K950" s="25">
        <v>317450722</v>
      </c>
      <c r="L950" s="57">
        <v>10953620689</v>
      </c>
    </row>
    <row r="951" spans="1:12" ht="15.75" customHeight="1">
      <c r="A951" s="214"/>
      <c r="B951" s="228"/>
      <c r="C951" s="228"/>
      <c r="D951" s="228"/>
      <c r="E951" s="228"/>
      <c r="F951" s="228"/>
      <c r="G951" s="71" t="str">
        <f ca="1">IFERROR(__xludf.DUMMYFUNCTION("IF(I962="""","""",FILTER(DATOS!$D$4:$D$237,DATOS!$B$4:$B$237=I962))"),"04-103")</f>
        <v>04-103</v>
      </c>
      <c r="H951" s="71" t="str">
        <f ca="1">IFERROR(__xludf.DUMMYFUNCTION("IF(I962="""","""",FILTER(DATOS!$C$4:$C$237,DATOS!$B$4:$B$237=I962))"),"SAN CRISTOBAL")</f>
        <v>SAN CRISTOBAL</v>
      </c>
      <c r="I951" s="35" t="s">
        <v>95</v>
      </c>
      <c r="J951" s="36" t="s">
        <v>419</v>
      </c>
      <c r="K951" s="30">
        <v>153670354</v>
      </c>
      <c r="L951" s="57"/>
    </row>
    <row r="952" spans="1:12" ht="15.75" customHeight="1">
      <c r="A952" s="214"/>
      <c r="B952" s="228"/>
      <c r="C952" s="228"/>
      <c r="D952" s="228"/>
      <c r="E952" s="228"/>
      <c r="F952" s="228"/>
      <c r="G952" s="71" t="str">
        <f ca="1">IFERROR(__xludf.DUMMYFUNCTION("IF(I963="""","""",FILTER(DATOS!$D$4:$D$237,DATOS!$B$4:$B$237=I963))"),"19-230")</f>
        <v>19-230</v>
      </c>
      <c r="H952" s="71" t="str">
        <f ca="1">IFERROR(__xludf.DUMMYFUNCTION("IF(I963="""","""",FILTER(DATOS!$C$4:$C$237,DATOS!$B$4:$B$237=I963))"),"CIUDAD BOLIVAR")</f>
        <v>CIUDAD BOLIVAR</v>
      </c>
      <c r="I952" s="35" t="s">
        <v>111</v>
      </c>
      <c r="J952" s="36" t="s">
        <v>420</v>
      </c>
      <c r="K952" s="30">
        <v>47584725</v>
      </c>
      <c r="L952" s="57"/>
    </row>
    <row r="953" spans="1:12" ht="15.75" customHeight="1">
      <c r="A953" s="214"/>
      <c r="B953" s="228"/>
      <c r="C953" s="228"/>
      <c r="D953" s="228"/>
      <c r="E953" s="228"/>
      <c r="F953" s="228"/>
      <c r="G953" s="71" t="str">
        <f ca="1">IFERROR(__xludf.DUMMYFUNCTION("IF(I964="""","""",FILTER(DATOS!$D$4:$D$237,DATOS!$B$4:$B$237=I964))"),"08-554")</f>
        <v>08-554</v>
      </c>
      <c r="H953" s="71" t="str">
        <f ca="1">IFERROR(__xludf.DUMMYFUNCTION("IF(I964="""","""",FILTER(DATOS!$C$4:$C$237,DATOS!$B$4:$B$237=I964))"),"KENNEDY")</f>
        <v>KENNEDY</v>
      </c>
      <c r="I953" s="35" t="s">
        <v>90</v>
      </c>
      <c r="J953" s="36" t="s">
        <v>421</v>
      </c>
      <c r="K953" s="30">
        <v>4464789360</v>
      </c>
      <c r="L953" s="57"/>
    </row>
    <row r="954" spans="1:12" ht="15.75" customHeight="1">
      <c r="A954" s="214"/>
      <c r="B954" s="228"/>
      <c r="C954" s="228"/>
      <c r="D954" s="228"/>
      <c r="E954" s="228"/>
      <c r="F954" s="228"/>
      <c r="G954" s="71" t="str">
        <f ca="1">IFERROR(__xludf.DUMMYFUNCTION("IF(I965="""","""",FILTER(DATOS!$D$4:$D$237,DATOS!$B$4:$B$237=I965))"),"08-791")</f>
        <v>08-791</v>
      </c>
      <c r="H954" s="71" t="str">
        <f ca="1">IFERROR(__xludf.DUMMYFUNCTION("IF(I965="""","""",FILTER(DATOS!$C$4:$C$237,DATOS!$B$4:$B$237=I965))"),"KENNEDY")</f>
        <v>KENNEDY</v>
      </c>
      <c r="I954" s="35" t="s">
        <v>125</v>
      </c>
      <c r="J954" s="36" t="s">
        <v>422</v>
      </c>
      <c r="K954" s="30">
        <v>1550014</v>
      </c>
      <c r="L954" s="57"/>
    </row>
    <row r="955" spans="1:12" ht="15.75" customHeight="1">
      <c r="A955" s="214"/>
      <c r="B955" s="228"/>
      <c r="C955" s="228"/>
      <c r="D955" s="228"/>
      <c r="E955" s="228"/>
      <c r="F955" s="228"/>
      <c r="G955" s="71" t="str">
        <f ca="1">IFERROR(__xludf.DUMMYFUNCTION("IF(I966="""","""",FILTER(DATOS!$D$4:$D$237,DATOS!$B$4:$B$237=I966))"),"05-004")</f>
        <v>05-004</v>
      </c>
      <c r="H955" s="71" t="str">
        <f ca="1">IFERROR(__xludf.DUMMYFUNCTION("IF(I966="""","""",FILTER(DATOS!$C$4:$C$237,DATOS!$B$4:$B$237=I966))"),"USME")</f>
        <v>USME</v>
      </c>
      <c r="I955" s="35" t="s">
        <v>101</v>
      </c>
      <c r="J955" s="36" t="s">
        <v>423</v>
      </c>
      <c r="K955" s="30">
        <v>675025922</v>
      </c>
      <c r="L955" s="57"/>
    </row>
    <row r="956" spans="1:12" ht="15.75" customHeight="1">
      <c r="A956" s="214"/>
      <c r="B956" s="228"/>
      <c r="C956" s="228"/>
      <c r="D956" s="228"/>
      <c r="E956" s="228"/>
      <c r="F956" s="228"/>
      <c r="G956" s="71" t="str">
        <f ca="1">IFERROR(__xludf.DUMMYFUNCTION("IF(I967="""","""",FILTER(DATOS!$D$4:$D$237,DATOS!$B$4:$B$237=I967))"),"18-452")</f>
        <v>18-452</v>
      </c>
      <c r="H956" s="71" t="str">
        <f ca="1">IFERROR(__xludf.DUMMYFUNCTION("IF(I967="""","""",FILTER(DATOS!$C$4:$C$237,DATOS!$B$4:$B$237=I967))"),"RAFAEL URIBE")</f>
        <v>RAFAEL URIBE</v>
      </c>
      <c r="I956" s="35" t="s">
        <v>98</v>
      </c>
      <c r="J956" s="36" t="s">
        <v>424</v>
      </c>
      <c r="K956" s="30">
        <v>5796734</v>
      </c>
      <c r="L956" s="57"/>
    </row>
    <row r="957" spans="1:12" ht="15.75" customHeight="1">
      <c r="A957" s="214"/>
      <c r="B957" s="228"/>
      <c r="C957" s="228"/>
      <c r="D957" s="228"/>
      <c r="E957" s="228"/>
      <c r="F957" s="228"/>
      <c r="G957" s="71" t="str">
        <f ca="1">IFERROR(__xludf.DUMMYFUNCTION("IF(I968="""","""",FILTER(DATOS!$D$4:$D$237,DATOS!$B$4:$B$237=I968))"),"06-063")</f>
        <v>06-063</v>
      </c>
      <c r="H957" s="71" t="str">
        <f ca="1">IFERROR(__xludf.DUMMYFUNCTION("IF(I968="""","""",FILTER(DATOS!$C$4:$C$237,DATOS!$B$4:$B$237=I968))"),"TUNJUELITO")</f>
        <v>TUNJUELITO</v>
      </c>
      <c r="I957" s="35" t="s">
        <v>88</v>
      </c>
      <c r="J957" s="36" t="s">
        <v>424</v>
      </c>
      <c r="K957" s="30">
        <v>89470261</v>
      </c>
      <c r="L957" s="57"/>
    </row>
    <row r="958" spans="1:12" ht="15.75" customHeight="1">
      <c r="A958" s="214"/>
      <c r="B958" s="228"/>
      <c r="C958" s="228"/>
      <c r="D958" s="228"/>
      <c r="E958" s="228"/>
      <c r="F958" s="228"/>
      <c r="G958" s="71" t="str">
        <f ca="1">IFERROR(__xludf.DUMMYFUNCTION("IF(I969="""","""",FILTER(DATOS!$D$4:$D$237,DATOS!$B$4:$B$237=I969))"),"18-207")</f>
        <v>18-207</v>
      </c>
      <c r="H958" s="71" t="str">
        <f ca="1">IFERROR(__xludf.DUMMYFUNCTION("IF(I969="""","""",FILTER(DATOS!$C$4:$C$237,DATOS!$B$4:$B$237=I969))"),"RAFAEL URIBE")</f>
        <v>RAFAEL URIBE</v>
      </c>
      <c r="I958" s="35" t="s">
        <v>93</v>
      </c>
      <c r="J958" s="36" t="s">
        <v>425</v>
      </c>
      <c r="K958" s="30">
        <v>763127470</v>
      </c>
      <c r="L958" s="57"/>
    </row>
    <row r="959" spans="1:12" ht="15.75" customHeight="1">
      <c r="A959" s="214"/>
      <c r="B959" s="228"/>
      <c r="C959" s="228"/>
      <c r="D959" s="228"/>
      <c r="E959" s="228"/>
      <c r="F959" s="228"/>
      <c r="G959" s="71" t="str">
        <f ca="1">IFERROR(__xludf.DUMMYFUNCTION("IF(I970="""","""",FILTER(DATOS!$D$4:$D$237,DATOS!$B$4:$B$237=I970))"),"07-152")</f>
        <v>07-152</v>
      </c>
      <c r="H959" s="71" t="str">
        <f ca="1">IFERROR(__xludf.DUMMYFUNCTION("IF(I970="""","""",FILTER(DATOS!$C$4:$C$237,DATOS!$B$4:$B$237=I970))"),"BOSA")</f>
        <v>BOSA</v>
      </c>
      <c r="I959" s="35" t="s">
        <v>92</v>
      </c>
      <c r="J959" s="36" t="s">
        <v>426</v>
      </c>
      <c r="K959" s="30">
        <v>12917150</v>
      </c>
      <c r="L959" s="57"/>
    </row>
    <row r="960" spans="1:12" ht="15.75" customHeight="1">
      <c r="A960" s="214"/>
      <c r="B960" s="228"/>
      <c r="C960" s="228"/>
      <c r="D960" s="228"/>
      <c r="E960" s="228"/>
      <c r="F960" s="228"/>
      <c r="G960" s="71" t="str">
        <f ca="1">IFERROR(__xludf.DUMMYFUNCTION("IF(I971="""","""",FILTER(DATOS!$D$4:$D$237,DATOS!$B$4:$B$237=I971))"),"08-626")</f>
        <v>08-626</v>
      </c>
      <c r="H960" s="71" t="str">
        <f ca="1">IFERROR(__xludf.DUMMYFUNCTION("IF(I971="""","""",FILTER(DATOS!$C$4:$C$237,DATOS!$B$4:$B$237=I971))"),"KENNEDY")</f>
        <v>KENNEDY</v>
      </c>
      <c r="I960" s="95" t="s">
        <v>161</v>
      </c>
      <c r="J960" s="66" t="s">
        <v>427</v>
      </c>
      <c r="K960" s="30">
        <v>336669127</v>
      </c>
      <c r="L960" s="57"/>
    </row>
    <row r="961" spans="1:12" ht="15.75" customHeight="1">
      <c r="A961" s="214"/>
      <c r="B961" s="228"/>
      <c r="C961" s="228"/>
      <c r="D961" s="228"/>
      <c r="E961" s="228"/>
      <c r="F961" s="228"/>
      <c r="G961" s="71" t="str">
        <f ca="1">IFERROR(__xludf.DUMMYFUNCTION("IF(I972="""","""",FILTER(DATOS!$D$4:$D$237,DATOS!$B$4:$B$237=I972))"),"07-036")</f>
        <v>07-036</v>
      </c>
      <c r="H961" s="71" t="str">
        <f ca="1">IFERROR(__xludf.DUMMYFUNCTION("IF(I972="""","""",FILTER(DATOS!$C$4:$C$237,DATOS!$B$4:$B$237=I972))"),"BOSA")</f>
        <v>BOSA</v>
      </c>
      <c r="I961" s="96" t="s">
        <v>131</v>
      </c>
      <c r="J961" s="66" t="s">
        <v>428</v>
      </c>
      <c r="K961" s="30">
        <v>323937559</v>
      </c>
      <c r="L961" s="57"/>
    </row>
    <row r="962" spans="1:12" ht="15.75" customHeight="1">
      <c r="A962" s="214"/>
      <c r="B962" s="228"/>
      <c r="C962" s="228"/>
      <c r="D962" s="228"/>
      <c r="E962" s="228"/>
      <c r="F962" s="228"/>
      <c r="G962" s="71" t="str">
        <f ca="1">IFERROR(__xludf.DUMMYFUNCTION("IF(I973="""","""",FILTER(DATOS!$D$4:$D$237,DATOS!$B$4:$B$237=I973))"),"08-552")</f>
        <v>08-552</v>
      </c>
      <c r="H962" s="71" t="str">
        <f ca="1">IFERROR(__xludf.DUMMYFUNCTION("IF(I973="""","""",FILTER(DATOS!$C$4:$C$237,DATOS!$B$4:$B$237=I973))"),"KENNEDY")</f>
        <v>KENNEDY</v>
      </c>
      <c r="I962" s="96" t="s">
        <v>97</v>
      </c>
      <c r="J962" s="66" t="s">
        <v>429</v>
      </c>
      <c r="K962" s="30">
        <v>1880676</v>
      </c>
      <c r="L962" s="57"/>
    </row>
    <row r="963" spans="1:12" ht="15.75" customHeight="1">
      <c r="A963" s="214"/>
      <c r="B963" s="228"/>
      <c r="C963" s="228"/>
      <c r="D963" s="228"/>
      <c r="E963" s="228"/>
      <c r="F963" s="228"/>
      <c r="G963" s="71" t="str">
        <f ca="1">IFERROR(__xludf.DUMMYFUNCTION("IF(I974="""","""",FILTER(DATOS!$D$4:$D$237,DATOS!$B$4:$B$237=I974))"),"08-200")</f>
        <v>08-200</v>
      </c>
      <c r="H963" s="71" t="str">
        <f ca="1">IFERROR(__xludf.DUMMYFUNCTION("IF(I974="""","""",FILTER(DATOS!$C$4:$C$237,DATOS!$B$4:$B$237=I974))"),"KENNEDY")</f>
        <v>KENNEDY</v>
      </c>
      <c r="I963" s="96" t="s">
        <v>77</v>
      </c>
      <c r="J963" s="66" t="s">
        <v>430</v>
      </c>
      <c r="K963" s="30">
        <v>33598575</v>
      </c>
      <c r="L963" s="57"/>
    </row>
    <row r="964" spans="1:12" ht="15.75" customHeight="1">
      <c r="A964" s="214"/>
      <c r="B964" s="228"/>
      <c r="C964" s="228"/>
      <c r="D964" s="228"/>
      <c r="E964" s="228"/>
      <c r="F964" s="228"/>
      <c r="G964" s="71" t="str">
        <f ca="1">IFERROR(__xludf.DUMMYFUNCTION("IF(I975="""","""",FILTER(DATOS!$D$4:$D$237,DATOS!$B$4:$B$237=I975))"),"18-162")</f>
        <v>18-162</v>
      </c>
      <c r="H964" s="71" t="str">
        <f ca="1">IFERROR(__xludf.DUMMYFUNCTION("IF(I975="""","""",FILTER(DATOS!$C$4:$C$237,DATOS!$B$4:$B$237=I975))"),"RAFAEL URIBE")</f>
        <v>RAFAEL URIBE</v>
      </c>
      <c r="I964" s="96" t="s">
        <v>113</v>
      </c>
      <c r="J964" s="66" t="s">
        <v>430</v>
      </c>
      <c r="K964" s="30">
        <v>129295772</v>
      </c>
      <c r="L964" s="57"/>
    </row>
    <row r="965" spans="1:12" ht="15.75" customHeight="1">
      <c r="A965" s="214"/>
      <c r="B965" s="228"/>
      <c r="C965" s="228"/>
      <c r="D965" s="228"/>
      <c r="E965" s="228"/>
      <c r="F965" s="228"/>
      <c r="G965" s="71" t="str">
        <f ca="1">IFERROR(__xludf.DUMMYFUNCTION("IF(I976="""","""",FILTER(DATOS!$D$4:$D$237,DATOS!$B$4:$B$237=I976))"),"19-230")</f>
        <v>19-230</v>
      </c>
      <c r="H965" s="71" t="str">
        <f ca="1">IFERROR(__xludf.DUMMYFUNCTION("IF(I976="""","""",FILTER(DATOS!$C$4:$C$237,DATOS!$B$4:$B$237=I976))"),"CIUDAD BOLIVAR")</f>
        <v>CIUDAD BOLIVAR</v>
      </c>
      <c r="I965" s="96" t="s">
        <v>111</v>
      </c>
      <c r="J965" s="66" t="s">
        <v>431</v>
      </c>
      <c r="K965" s="30">
        <v>127206506</v>
      </c>
      <c r="L965" s="57"/>
    </row>
    <row r="966" spans="1:12" ht="15.75" customHeight="1">
      <c r="A966" s="214"/>
      <c r="B966" s="228"/>
      <c r="C966" s="228"/>
      <c r="D966" s="228"/>
      <c r="E966" s="228"/>
      <c r="F966" s="228"/>
      <c r="G966" s="71" t="str">
        <f ca="1">IFERROR(__xludf.DUMMYFUNCTION("IF(I977="""","""",FILTER(DATOS!$D$4:$D$237,DATOS!$B$4:$B$237=I977))"),"06-063")</f>
        <v>06-063</v>
      </c>
      <c r="H966" s="71" t="str">
        <f ca="1">IFERROR(__xludf.DUMMYFUNCTION("IF(I977="""","""",FILTER(DATOS!$C$4:$C$237,DATOS!$B$4:$B$237=I977))"),"TUNJUELITO")</f>
        <v>TUNJUELITO</v>
      </c>
      <c r="I966" s="35" t="s">
        <v>87</v>
      </c>
      <c r="J966" s="81" t="s">
        <v>432</v>
      </c>
      <c r="K966" s="30">
        <v>719221317</v>
      </c>
      <c r="L966" s="57"/>
    </row>
    <row r="967" spans="1:12" ht="15.75" customHeight="1">
      <c r="A967" s="214"/>
      <c r="B967" s="228"/>
      <c r="C967" s="228"/>
      <c r="D967" s="228"/>
      <c r="E967" s="228"/>
      <c r="F967" s="228"/>
      <c r="G967" s="71" t="str">
        <f ca="1">IFERROR(__xludf.DUMMYFUNCTION("IF(I978="""","""",FILTER(DATOS!$D$4:$D$237,DATOS!$B$4:$B$237=I978))"),"04-127")</f>
        <v>04-127</v>
      </c>
      <c r="H967" s="71" t="str">
        <f ca="1">IFERROR(__xludf.DUMMYFUNCTION("IF(I978="""","""",FILTER(DATOS!$C$4:$C$237,DATOS!$B$4:$B$237=I978))"),"SAN CRISTOBAL")</f>
        <v>SAN CRISTOBAL</v>
      </c>
      <c r="I967" s="35" t="s">
        <v>123</v>
      </c>
      <c r="J967" s="81" t="s">
        <v>433</v>
      </c>
      <c r="K967" s="30">
        <v>274915036</v>
      </c>
      <c r="L967" s="57"/>
    </row>
    <row r="968" spans="1:12" ht="15.75" customHeight="1">
      <c r="A968" s="214"/>
      <c r="B968" s="228"/>
      <c r="C968" s="228"/>
      <c r="D968" s="228"/>
      <c r="E968" s="228"/>
      <c r="F968" s="228"/>
      <c r="G968" s="71" t="str">
        <f ca="1">IFERROR(__xludf.DUMMYFUNCTION("IF(I979="""","""",FILTER(DATOS!$D$4:$D$237,DATOS!$B$4:$B$237=I979))"),"08-241")</f>
        <v>08-241</v>
      </c>
      <c r="H968" s="71" t="str">
        <f ca="1">IFERROR(__xludf.DUMMYFUNCTION("IF(I979="""","""",FILTER(DATOS!$C$4:$C$237,DATOS!$B$4:$B$237=I979))"),"KENNEDY")</f>
        <v>KENNEDY</v>
      </c>
      <c r="I968" s="35" t="s">
        <v>78</v>
      </c>
      <c r="J968" s="81" t="s">
        <v>434</v>
      </c>
      <c r="K968" s="30">
        <v>43933459</v>
      </c>
      <c r="L968" s="57"/>
    </row>
    <row r="969" spans="1:12" ht="15.75" customHeight="1">
      <c r="A969" s="214"/>
      <c r="B969" s="228"/>
      <c r="C969" s="228"/>
      <c r="D969" s="228"/>
      <c r="E969" s="228"/>
      <c r="F969" s="228"/>
      <c r="G969" s="71" t="str">
        <f ca="1">IFERROR(__xludf.DUMMYFUNCTION("IF(I980="""","""",FILTER(DATOS!$D$4:$D$237,DATOS!$B$4:$B$237=I980))"),"18-429")</f>
        <v>18-429</v>
      </c>
      <c r="H969" s="71" t="str">
        <f ca="1">IFERROR(__xludf.DUMMYFUNCTION("IF(I980="""","""",FILTER(DATOS!$C$4:$C$237,DATOS!$B$4:$B$237=I980))"),"RAFAEL URIBE")</f>
        <v>RAFAEL URIBE</v>
      </c>
      <c r="I969" s="35" t="s">
        <v>353</v>
      </c>
      <c r="J969" s="81" t="s">
        <v>435</v>
      </c>
      <c r="K969" s="30">
        <v>4862979</v>
      </c>
      <c r="L969" s="57"/>
    </row>
    <row r="970" spans="1:12" ht="15.75" customHeight="1">
      <c r="A970" s="214"/>
      <c r="B970" s="228"/>
      <c r="C970" s="228"/>
      <c r="D970" s="228"/>
      <c r="E970" s="228"/>
      <c r="F970" s="228"/>
      <c r="G970" s="71" t="str">
        <f ca="1">IFERROR(__xludf.DUMMYFUNCTION("IF(I981="""","""",FILTER(DATOS!$D$4:$D$237,DATOS!$B$4:$B$237=I981))"),"18-009")</f>
        <v>18-009</v>
      </c>
      <c r="H970" s="71" t="str">
        <f ca="1">IFERROR(__xludf.DUMMYFUNCTION("IF(I981="""","""",FILTER(DATOS!$C$4:$C$237,DATOS!$B$4:$B$237=I981))"),"RAFAEL URIBE")</f>
        <v>RAFAEL URIBE</v>
      </c>
      <c r="I970" s="35" t="s">
        <v>354</v>
      </c>
      <c r="J970" s="36" t="s">
        <v>435</v>
      </c>
      <c r="K970" s="30">
        <v>4862979</v>
      </c>
      <c r="L970" s="57"/>
    </row>
    <row r="971" spans="1:12" ht="15.75" customHeight="1">
      <c r="A971" s="214"/>
      <c r="B971" s="228"/>
      <c r="C971" s="228"/>
      <c r="D971" s="228"/>
      <c r="E971" s="228"/>
      <c r="F971" s="228"/>
      <c r="G971" s="71" t="str">
        <f ca="1">IFERROR(__xludf.DUMMYFUNCTION("IF(I982="""","""",FILTER(DATOS!$D$4:$D$237,DATOS!$B$4:$B$237=I982))"),"19-188")</f>
        <v>19-188</v>
      </c>
      <c r="H971" s="71" t="str">
        <f ca="1">IFERROR(__xludf.DUMMYFUNCTION("IF(I982="""","""",FILTER(DATOS!$C$4:$C$237,DATOS!$B$4:$B$237=I982))"),"CIUDAD BOLIVAR")</f>
        <v>CIUDAD BOLIVAR</v>
      </c>
      <c r="I971" s="35" t="s">
        <v>72</v>
      </c>
      <c r="J971" s="66" t="s">
        <v>436</v>
      </c>
      <c r="K971" s="30">
        <v>43718066</v>
      </c>
      <c r="L971" s="57"/>
    </row>
    <row r="972" spans="1:12" ht="15.75" customHeight="1">
      <c r="A972" s="214"/>
      <c r="B972" s="228"/>
      <c r="C972" s="228"/>
      <c r="D972" s="228"/>
      <c r="E972" s="228"/>
      <c r="F972" s="228"/>
      <c r="G972" s="71" t="str">
        <f ca="1">IFERROR(__xludf.DUMMYFUNCTION("IF(I983="""","""",FILTER(DATOS!$D$4:$D$237,DATOS!$B$4:$B$237=I983))"),"03-035")</f>
        <v>03-035</v>
      </c>
      <c r="H972" s="71" t="str">
        <f ca="1">IFERROR(__xludf.DUMMYFUNCTION("IF(I983="""","""",FILTER(DATOS!$C$4:$C$237,DATOS!$B$4:$B$237=I983))"),"SANTAFE")</f>
        <v>SANTAFE</v>
      </c>
      <c r="I972" s="35" t="s">
        <v>46</v>
      </c>
      <c r="J972" s="81" t="s">
        <v>437</v>
      </c>
      <c r="K972" s="30">
        <v>300164684</v>
      </c>
      <c r="L972" s="57"/>
    </row>
    <row r="973" spans="1:12" ht="15.75" customHeight="1">
      <c r="A973" s="214"/>
      <c r="B973" s="228"/>
      <c r="C973" s="228"/>
      <c r="D973" s="228"/>
      <c r="E973" s="228"/>
      <c r="F973" s="228"/>
      <c r="G973" s="71" t="str">
        <f ca="1">IFERROR(__xludf.DUMMYFUNCTION("IF(I984="""","""",FILTER(DATOS!$D$4:$D$237,DATOS!$B$4:$B$237=I984))"),"05-141")</f>
        <v>05-141</v>
      </c>
      <c r="H973" s="71" t="str">
        <f ca="1">IFERROR(__xludf.DUMMYFUNCTION("IF(I984="""","""",FILTER(DATOS!$C$4:$C$237,DATOS!$B$4:$B$237=I984))"),"USME")</f>
        <v>USME</v>
      </c>
      <c r="I973" s="35" t="s">
        <v>380</v>
      </c>
      <c r="J973" s="36" t="s">
        <v>438</v>
      </c>
      <c r="K973" s="30">
        <v>31164620</v>
      </c>
      <c r="L973" s="57"/>
    </row>
    <row r="974" spans="1:12" ht="15.75" customHeight="1">
      <c r="A974" s="214"/>
      <c r="B974" s="228"/>
      <c r="C974" s="228"/>
      <c r="D974" s="228"/>
      <c r="E974" s="228"/>
      <c r="F974" s="228"/>
      <c r="G974" s="71" t="str">
        <f ca="1">IFERROR(__xludf.DUMMYFUNCTION("IF(I985="""","""",FILTER(DATOS!$D$4:$D$237,DATOS!$B$4:$B$237=I985))"),"08-180")</f>
        <v>08-180</v>
      </c>
      <c r="H974" s="71" t="str">
        <f ca="1">IFERROR(__xludf.DUMMYFUNCTION("IF(I985="""","""",FILTER(DATOS!$C$4:$C$237,DATOS!$B$4:$B$237=I985))"),"KENNEDY")</f>
        <v>KENNEDY</v>
      </c>
      <c r="I974" s="35" t="s">
        <v>347</v>
      </c>
      <c r="J974" s="36" t="s">
        <v>438</v>
      </c>
      <c r="K974" s="97">
        <v>35982421</v>
      </c>
      <c r="L974" s="57"/>
    </row>
    <row r="975" spans="1:12" ht="15.75" customHeight="1">
      <c r="A975" s="214"/>
      <c r="B975" s="228"/>
      <c r="C975" s="228"/>
      <c r="D975" s="228"/>
      <c r="E975" s="228"/>
      <c r="F975" s="228"/>
      <c r="G975" s="71" t="str">
        <f ca="1">IFERROR(__xludf.DUMMYFUNCTION("IF(I986="""","""",FILTER(DATOS!$D$4:$D$237,DATOS!$B$4:$B$237=I986))"),"08-034")</f>
        <v>08-034</v>
      </c>
      <c r="H975" s="71" t="str">
        <f ca="1">IFERROR(__xludf.DUMMYFUNCTION("IF(I986="""","""",FILTER(DATOS!$C$4:$C$237,DATOS!$B$4:$B$237=I986))"),"KENNEDY")</f>
        <v>KENNEDY</v>
      </c>
      <c r="I975" s="82" t="s">
        <v>118</v>
      </c>
      <c r="J975" s="36" t="s">
        <v>439</v>
      </c>
      <c r="K975" s="97">
        <v>4565251</v>
      </c>
      <c r="L975" s="57"/>
    </row>
    <row r="976" spans="1:12" ht="15.75" customHeight="1">
      <c r="A976" s="214"/>
      <c r="B976" s="228"/>
      <c r="C976" s="228"/>
      <c r="D976" s="228"/>
      <c r="E976" s="228"/>
      <c r="F976" s="228"/>
      <c r="G976" s="71" t="str">
        <f ca="1">IFERROR(__xludf.DUMMYFUNCTION("IF(I987="""","""",FILTER(DATOS!$D$4:$D$237,DATOS!$B$4:$B$237=I987))"),"08-533")</f>
        <v>08-533</v>
      </c>
      <c r="H976" s="71" t="str">
        <f ca="1">IFERROR(__xludf.DUMMYFUNCTION("IF(I987="""","""",FILTER(DATOS!$C$4:$C$237,DATOS!$B$4:$B$237=I987))"),"KENNEDY")</f>
        <v>KENNEDY</v>
      </c>
      <c r="I976" s="36" t="s">
        <v>346</v>
      </c>
      <c r="J976" s="36" t="s">
        <v>440</v>
      </c>
      <c r="K976" s="97">
        <v>15171518</v>
      </c>
      <c r="L976" s="57"/>
    </row>
    <row r="977" spans="1:12" ht="15.75" customHeight="1">
      <c r="A977" s="214"/>
      <c r="B977" s="228"/>
      <c r="C977" s="228"/>
      <c r="D977" s="228"/>
      <c r="E977" s="228"/>
      <c r="F977" s="228"/>
      <c r="G977" s="71" t="str">
        <f ca="1">IFERROR(__xludf.DUMMYFUNCTION("IF(I988="""","""",FILTER(DATOS!$D$4:$D$237,DATOS!$B$4:$B$237=I988))"),"05-002")</f>
        <v>05-002</v>
      </c>
      <c r="H977" s="71" t="str">
        <f ca="1">IFERROR(__xludf.DUMMYFUNCTION("IF(I988="""","""",FILTER(DATOS!$C$4:$C$237,DATOS!$B$4:$B$237=I988))"),"USME")</f>
        <v>USME</v>
      </c>
      <c r="I977" s="36" t="s">
        <v>102</v>
      </c>
      <c r="J977" s="36" t="s">
        <v>441</v>
      </c>
      <c r="K977" s="97">
        <v>1410507</v>
      </c>
      <c r="L977" s="57"/>
    </row>
    <row r="978" spans="1:12" ht="15.75" customHeight="1">
      <c r="A978" s="214"/>
      <c r="B978" s="228"/>
      <c r="C978" s="228"/>
      <c r="D978" s="228"/>
      <c r="E978" s="228"/>
      <c r="F978" s="228"/>
      <c r="G978" s="71" t="str">
        <f ca="1">IFERROR(__xludf.DUMMYFUNCTION("IF(I989="""","""",FILTER(DATOS!$D$4:$D$237,DATOS!$B$4:$B$237=I989))"),"15-040")</f>
        <v>15-040</v>
      </c>
      <c r="H978" s="71" t="str">
        <f ca="1">IFERROR(__xludf.DUMMYFUNCTION("IF(I989="""","""",FILTER(DATOS!$C$4:$C$237,DATOS!$B$4:$B$237=I989))"),"ANTONIO NARIÑO")</f>
        <v>ANTONIO NARIÑO</v>
      </c>
      <c r="I978" s="36" t="s">
        <v>105</v>
      </c>
      <c r="J978" s="36" t="s">
        <v>442</v>
      </c>
      <c r="K978" s="97">
        <v>94338347</v>
      </c>
      <c r="L978" s="57"/>
    </row>
    <row r="979" spans="1:12" ht="15.75" customHeight="1">
      <c r="A979" s="214"/>
      <c r="B979" s="228"/>
      <c r="C979" s="228"/>
      <c r="D979" s="228"/>
      <c r="E979" s="228"/>
      <c r="F979" s="228"/>
      <c r="G979" s="71" t="str">
        <f ca="1">IFERROR(__xludf.DUMMYFUNCTION("IF(I990="""","""",FILTER(DATOS!$D$4:$D$237,DATOS!$B$4:$B$237=I990))"),"08-127")</f>
        <v>08-127</v>
      </c>
      <c r="H979" s="70" t="str">
        <f ca="1">IFERROR(__xludf.DUMMYFUNCTION("IF(I990="""","""",FILTER(DATOS!$C$4:$C$237,DATOS!$B$4:$B$237=I990))"),"KENNEDY")</f>
        <v>KENNEDY</v>
      </c>
      <c r="I979" s="81" t="s">
        <v>342</v>
      </c>
      <c r="J979" s="98" t="s">
        <v>443</v>
      </c>
      <c r="K979" s="97">
        <v>67912816</v>
      </c>
      <c r="L979" s="57"/>
    </row>
    <row r="980" spans="1:12" ht="15.75" customHeight="1">
      <c r="A980" s="214"/>
      <c r="B980" s="228"/>
      <c r="C980" s="228"/>
      <c r="D980" s="228"/>
      <c r="E980" s="228"/>
      <c r="F980" s="228"/>
      <c r="G980" s="99" t="str">
        <f ca="1">IFERROR(__xludf.DUMMYFUNCTION("IF(I991="""","""",FILTER(DATOS!$D$4:$D$237,DATOS!$B$4:$B$237=I991))"),"05-042")</f>
        <v>05-042</v>
      </c>
      <c r="H980" s="26" t="str">
        <f ca="1">IFERROR(__xludf.DUMMYFUNCTION("IF(I991="""","""",FILTER(DATOS!$C$4:$C$237,DATOS!$B$4:$B$237=I991))"),"USME")</f>
        <v>USME</v>
      </c>
      <c r="I980" s="36" t="s">
        <v>381</v>
      </c>
      <c r="J980" s="36" t="s">
        <v>444</v>
      </c>
      <c r="K980" s="97">
        <v>3680803</v>
      </c>
      <c r="L980" s="57"/>
    </row>
    <row r="981" spans="1:12" ht="15.75" customHeight="1">
      <c r="A981" s="214"/>
      <c r="B981" s="228"/>
      <c r="C981" s="228"/>
      <c r="D981" s="228"/>
      <c r="E981" s="228"/>
      <c r="F981" s="228"/>
      <c r="G981" s="99" t="str">
        <f ca="1">IFERROR(__xludf.DUMMYFUNCTION("IF(I992="""","""",FILTER(DATOS!$D$4:$D$237,DATOS!$B$4:$B$237=I992))"),"05-459")</f>
        <v>05-459</v>
      </c>
      <c r="H981" s="26" t="str">
        <f ca="1">IFERROR(__xludf.DUMMYFUNCTION("IF(I992="""","""",FILTER(DATOS!$C$4:$C$237,DATOS!$B$4:$B$237=I992))"),"USME")</f>
        <v>USME</v>
      </c>
      <c r="I981" s="36" t="s">
        <v>383</v>
      </c>
      <c r="J981" s="36" t="s">
        <v>444</v>
      </c>
      <c r="K981" s="97">
        <v>5461777</v>
      </c>
      <c r="L981" s="57"/>
    </row>
    <row r="982" spans="1:12" ht="15.75" customHeight="1">
      <c r="A982" s="214"/>
      <c r="B982" s="228"/>
      <c r="C982" s="228"/>
      <c r="D982" s="228"/>
      <c r="E982" s="228"/>
      <c r="F982" s="228"/>
      <c r="G982" s="99" t="str">
        <f ca="1">IFERROR(__xludf.DUMMYFUNCTION("IF(I993="""","""",FILTER(DATOS!$D$4:$D$237,DATOS!$B$4:$B$237=I993))"),"19-788")</f>
        <v>19-788</v>
      </c>
      <c r="H982" s="26" t="str">
        <f ca="1">IFERROR(__xludf.DUMMYFUNCTION("IF(I993="""","""",FILTER(DATOS!$C$4:$C$237,DATOS!$B$4:$B$237=I993))"),"CIUDAD BOLIVAR")</f>
        <v>CIUDAD BOLIVAR</v>
      </c>
      <c r="I982" s="36" t="s">
        <v>139</v>
      </c>
      <c r="J982" s="98" t="s">
        <v>445</v>
      </c>
      <c r="K982" s="97">
        <v>122255750</v>
      </c>
      <c r="L982" s="57"/>
    </row>
    <row r="983" spans="1:12" ht="15.75" customHeight="1">
      <c r="A983" s="214"/>
      <c r="B983" s="228"/>
      <c r="C983" s="228"/>
      <c r="D983" s="228"/>
      <c r="E983" s="228"/>
      <c r="F983" s="228"/>
      <c r="G983" s="99" t="str">
        <f ca="1">IFERROR(__xludf.DUMMYFUNCTION("IF(I994="""","""",FILTER(DATOS!$D$4:$D$237,DATOS!$B$4:$B$237=I994))"),"08-144")</f>
        <v>08-144</v>
      </c>
      <c r="H983" s="26" t="str">
        <f ca="1">IFERROR(__xludf.DUMMYFUNCTION("IF(I994="""","""",FILTER(DATOS!$C$4:$C$237,DATOS!$B$4:$B$237=I994))"),"KENNEDY")</f>
        <v>KENNEDY</v>
      </c>
      <c r="I983" s="36" t="s">
        <v>81</v>
      </c>
      <c r="J983" s="36" t="s">
        <v>444</v>
      </c>
      <c r="K983" s="97">
        <v>39552480</v>
      </c>
      <c r="L983" s="57"/>
    </row>
    <row r="984" spans="1:12" ht="15.75" customHeight="1">
      <c r="A984" s="214"/>
      <c r="B984" s="228"/>
      <c r="C984" s="228"/>
      <c r="D984" s="228"/>
      <c r="E984" s="228"/>
      <c r="F984" s="228"/>
      <c r="G984" s="99" t="str">
        <f ca="1">IFERROR(__xludf.DUMMYFUNCTION("IF(I995="""","""",FILTER(DATOS!$D$4:$D$237,DATOS!$B$4:$B$237=I995))"),"18-090")</f>
        <v>18-090</v>
      </c>
      <c r="H984" s="26" t="str">
        <f ca="1">IFERROR(__xludf.DUMMYFUNCTION("IF(I995="""","""",FILTER(DATOS!$C$4:$C$237,DATOS!$B$4:$B$237=I995))"),"RAFAEL URIBE")</f>
        <v>RAFAEL URIBE</v>
      </c>
      <c r="I984" s="36" t="s">
        <v>94</v>
      </c>
      <c r="J984" s="100" t="s">
        <v>446</v>
      </c>
      <c r="K984" s="97">
        <v>661017241</v>
      </c>
      <c r="L984" s="57"/>
    </row>
    <row r="985" spans="1:12" ht="15.75" customHeight="1">
      <c r="A985" s="214"/>
      <c r="B985" s="228"/>
      <c r="C985" s="228"/>
      <c r="D985" s="228"/>
      <c r="E985" s="228"/>
      <c r="F985" s="228"/>
      <c r="G985" s="99" t="str">
        <f ca="1">IFERROR(__xludf.DUMMYFUNCTION("IF(I996="""","""",FILTER(DATOS!$D$4:$D$237,DATOS!$B$4:$B$237=I996))"),"07-035")</f>
        <v>07-035</v>
      </c>
      <c r="H985" s="26" t="str">
        <f ca="1">IFERROR(__xludf.DUMMYFUNCTION("IF(I996="""","""",FILTER(DATOS!$C$4:$C$237,DATOS!$B$4:$B$237=I996))"),"BOSA")</f>
        <v>BOSA</v>
      </c>
      <c r="I985" s="35" t="s">
        <v>116</v>
      </c>
      <c r="J985" s="98" t="s">
        <v>447</v>
      </c>
      <c r="K985" s="97">
        <v>32380086</v>
      </c>
      <c r="L985" s="57"/>
    </row>
    <row r="986" spans="1:12" ht="15.75" customHeight="1">
      <c r="A986" s="214"/>
      <c r="B986" s="228"/>
      <c r="C986" s="228"/>
      <c r="D986" s="228"/>
      <c r="E986" s="228"/>
      <c r="F986" s="228"/>
      <c r="G986" s="99" t="str">
        <f ca="1">IFERROR(__xludf.DUMMYFUNCTION("IF(I997="""","""",FILTER(DATOS!$D$4:$D$237,DATOS!$B$4:$B$237=I997))"),"07-391")</f>
        <v>07-391</v>
      </c>
      <c r="H986" s="26" t="str">
        <f ca="1">IFERROR(__xludf.DUMMYFUNCTION("IF(I997="""","""",FILTER(DATOS!$C$4:$C$237,DATOS!$B$4:$B$237=I997))"),"BOSA")</f>
        <v>BOSA</v>
      </c>
      <c r="I986" s="35" t="s">
        <v>119</v>
      </c>
      <c r="J986" s="98" t="s">
        <v>448</v>
      </c>
      <c r="K986" s="97">
        <v>42213227</v>
      </c>
      <c r="L986" s="57"/>
    </row>
    <row r="987" spans="1:12" ht="15.75" customHeight="1" thickBot="1">
      <c r="A987" s="214"/>
      <c r="B987" s="228"/>
      <c r="C987" s="228"/>
      <c r="D987" s="228"/>
      <c r="E987" s="228"/>
      <c r="F987" s="228"/>
      <c r="G987" s="101" t="str">
        <f ca="1">IFERROR(__xludf.DUMMYFUNCTION("IF(I998="""","""",FILTER(DATOS!$D$4:$D$237,DATOS!$B$4:$B$237=I998))"),"07-274")</f>
        <v>07-274</v>
      </c>
      <c r="H987" s="102" t="str">
        <f ca="1">IFERROR(__xludf.DUMMYFUNCTION("IF(I998="""","""",FILTER(DATOS!$C$4:$C$237,DATOS!$B$4:$B$237=I998))"),"BOSA")</f>
        <v>BOSA</v>
      </c>
      <c r="I987" s="103" t="s">
        <v>130</v>
      </c>
      <c r="J987" s="98" t="s">
        <v>447</v>
      </c>
      <c r="K987" s="94">
        <v>39151381</v>
      </c>
      <c r="L987" s="57"/>
    </row>
    <row r="988" spans="1:12" ht="15.75" customHeight="1">
      <c r="A988" s="242" t="s">
        <v>449</v>
      </c>
      <c r="B988" s="245" t="s">
        <v>450</v>
      </c>
      <c r="C988" s="245" t="s">
        <v>451</v>
      </c>
      <c r="D988" s="247">
        <v>45289</v>
      </c>
      <c r="E988" s="247">
        <v>45624</v>
      </c>
      <c r="F988" s="248">
        <v>1</v>
      </c>
      <c r="G988" s="104" t="str">
        <f ca="1">IFERROR(__xludf.DUMMYFUNCTION("IF(I1001="""","""",FILTER(DATOS!$D$4:$D$237,DATOS!$B$4:$B$237=I1001))"),"09-104")</f>
        <v>09-104</v>
      </c>
      <c r="H988" s="104" t="str">
        <f ca="1">IFERROR(__xludf.DUMMYFUNCTION("IF(I1001="""","""",FILTER(DATOS!$C$4:$C$237,DATOS!$B$4:$B$237=I1001))"),"FONTIBON")</f>
        <v>FONTIBON</v>
      </c>
      <c r="I988" s="105" t="s">
        <v>21</v>
      </c>
      <c r="J988" s="106" t="s">
        <v>452</v>
      </c>
      <c r="K988" s="107">
        <v>299206259</v>
      </c>
      <c r="L988" s="57">
        <v>10111034482</v>
      </c>
    </row>
    <row r="989" spans="1:12" ht="15.75" customHeight="1">
      <c r="A989" s="243"/>
      <c r="B989" s="228"/>
      <c r="C989" s="228"/>
      <c r="D989" s="228"/>
      <c r="E989" s="228"/>
      <c r="F989" s="228"/>
      <c r="G989" s="71" t="str">
        <f ca="1">IFERROR(__xludf.DUMMYFUNCTION("IF(I1002="""","""",FILTER(DATOS!$D$4:$D$237,DATOS!$B$4:$B$237=I1002))"),"09-111")</f>
        <v>09-111</v>
      </c>
      <c r="H989" s="71" t="str">
        <f ca="1">IFERROR(__xludf.DUMMYFUNCTION("IF(I1002="""","""",FILTER(DATOS!$C$4:$C$237,DATOS!$B$4:$B$237=I1002))"),"FONTIBON")</f>
        <v>FONTIBON</v>
      </c>
      <c r="I989" s="96" t="s">
        <v>57</v>
      </c>
      <c r="J989" s="66" t="s">
        <v>431</v>
      </c>
      <c r="K989" s="108">
        <v>91425378</v>
      </c>
      <c r="L989" s="57"/>
    </row>
    <row r="990" spans="1:12" ht="15.75" customHeight="1">
      <c r="A990" s="243"/>
      <c r="B990" s="228"/>
      <c r="C990" s="228"/>
      <c r="D990" s="228"/>
      <c r="E990" s="228"/>
      <c r="F990" s="228"/>
      <c r="G990" s="71" t="str">
        <f ca="1">IFERROR(__xludf.DUMMYFUNCTION("IF(I1003="""","""",FILTER(DATOS!$D$4:$D$237,DATOS!$B$4:$B$237=I1003))"),"10-234")</f>
        <v>10-234</v>
      </c>
      <c r="H990" s="71" t="str">
        <f ca="1">IFERROR(__xludf.DUMMYFUNCTION("IF(I1003="""","""",FILTER(DATOS!$C$4:$C$237,DATOS!$B$4:$B$237=I1003))"),"ENGATIVA")</f>
        <v>ENGATIVA</v>
      </c>
      <c r="I990" s="96" t="s">
        <v>56</v>
      </c>
      <c r="J990" s="66" t="s">
        <v>453</v>
      </c>
      <c r="K990" s="108">
        <v>59361151</v>
      </c>
      <c r="L990" s="57"/>
    </row>
    <row r="991" spans="1:12" ht="15.75" customHeight="1">
      <c r="A991" s="243"/>
      <c r="B991" s="228"/>
      <c r="C991" s="228"/>
      <c r="D991" s="228"/>
      <c r="E991" s="228"/>
      <c r="F991" s="228"/>
      <c r="G991" s="71" t="str">
        <f ca="1">IFERROR(__xludf.DUMMYFUNCTION("IF(I1004="""","""",FILTER(DATOS!$D$4:$D$237,DATOS!$B$4:$B$237=I1004))"),"10-531")</f>
        <v>10-531</v>
      </c>
      <c r="H991" s="71" t="str">
        <f ca="1">IFERROR(__xludf.DUMMYFUNCTION("IF(I1004="""","""",FILTER(DATOS!$C$4:$C$237,DATOS!$B$4:$B$237=I1004))"),"ENGATIVA")</f>
        <v>ENGATIVA</v>
      </c>
      <c r="I991" s="96" t="s">
        <v>52</v>
      </c>
      <c r="J991" s="66" t="s">
        <v>454</v>
      </c>
      <c r="K991" s="108">
        <v>77366658</v>
      </c>
      <c r="L991" s="57"/>
    </row>
    <row r="992" spans="1:12" ht="15.75" customHeight="1">
      <c r="A992" s="243"/>
      <c r="B992" s="228"/>
      <c r="C992" s="228"/>
      <c r="D992" s="228"/>
      <c r="E992" s="228"/>
      <c r="F992" s="228"/>
      <c r="G992" s="71" t="str">
        <f ca="1">IFERROR(__xludf.DUMMYFUNCTION("IF(I1005="""","""",FILTER(DATOS!$D$4:$D$237,DATOS!$B$4:$B$237=I1005))"),"12-091")</f>
        <v>12-091</v>
      </c>
      <c r="H992" s="71" t="str">
        <f ca="1">IFERROR(__xludf.DUMMYFUNCTION("IF(I1005="""","""",FILTER(DATOS!$C$4:$C$237,DATOS!$B$4:$B$237=I1005))"),"BARRIOS UNIDOS")</f>
        <v>BARRIOS UNIDOS</v>
      </c>
      <c r="I992" s="96" t="s">
        <v>53</v>
      </c>
      <c r="J992" s="66" t="s">
        <v>454</v>
      </c>
      <c r="K992" s="108">
        <v>1977632277</v>
      </c>
      <c r="L992" s="57"/>
    </row>
    <row r="993" spans="1:12" ht="15.75" customHeight="1">
      <c r="A993" s="243"/>
      <c r="B993" s="228"/>
      <c r="C993" s="228"/>
      <c r="D993" s="228"/>
      <c r="E993" s="228"/>
      <c r="F993" s="228"/>
      <c r="G993" s="88" t="str">
        <f ca="1">IFERROR(__xludf.DUMMYFUNCTION("IF(I1006="""","""",FILTER(DATOS!$D$4:$D$237,DATOS!$B$4:$B$237=I1006))"),"12-1000")</f>
        <v>12-1000</v>
      </c>
      <c r="H993" s="88" t="str">
        <f ca="1">IFERROR(__xludf.DUMMYFUNCTION("IF(I1006="""","""",FILTER(DATOS!$C$4:$C$237,DATOS!$B$4:$B$237=I1006))"),"BARRIOS UNIDOS")</f>
        <v>BARRIOS UNIDOS</v>
      </c>
      <c r="I993" s="96" t="s">
        <v>28</v>
      </c>
      <c r="J993" s="36" t="s">
        <v>455</v>
      </c>
      <c r="K993" s="108">
        <v>1517094166</v>
      </c>
      <c r="L993" s="57"/>
    </row>
    <row r="994" spans="1:12" ht="15.75" customHeight="1">
      <c r="A994" s="243"/>
      <c r="B994" s="228"/>
      <c r="C994" s="228"/>
      <c r="D994" s="228"/>
      <c r="E994" s="228"/>
      <c r="F994" s="228"/>
      <c r="G994" s="71" t="str">
        <f ca="1">IFERROR(__xludf.DUMMYFUNCTION("IF(I1007="""","""",FILTER(DATOS!$D$4:$D$237,DATOS!$B$4:$B$237=I1007))"),"13-122")</f>
        <v>13-122</v>
      </c>
      <c r="H994" s="71" t="str">
        <f ca="1">IFERROR(__xludf.DUMMYFUNCTION("IF(I1007="""","""",FILTER(DATOS!$C$4:$C$237,DATOS!$B$4:$B$237=I1007))"),"TEUSAQUILLO")</f>
        <v>TEUSAQUILLO</v>
      </c>
      <c r="I994" s="96" t="s">
        <v>32</v>
      </c>
      <c r="J994" s="66" t="s">
        <v>456</v>
      </c>
      <c r="K994" s="108">
        <v>1576114345</v>
      </c>
      <c r="L994" s="57"/>
    </row>
    <row r="995" spans="1:12" ht="15.75" customHeight="1">
      <c r="A995" s="243"/>
      <c r="B995" s="228"/>
      <c r="C995" s="228"/>
      <c r="D995" s="228"/>
      <c r="E995" s="228"/>
      <c r="F995" s="228"/>
      <c r="G995" s="71" t="str">
        <f ca="1">IFERROR(__xludf.DUMMYFUNCTION("IF(I1008="""","""",FILTER(DATOS!$D$4:$D$237,DATOS!$B$4:$B$237=I1008))"),"01-012")</f>
        <v>01-012</v>
      </c>
      <c r="H995" s="71" t="str">
        <f ca="1">IFERROR(__xludf.DUMMYFUNCTION("IF(I1008="""","""",FILTER(DATOS!$C$4:$C$237,DATOS!$B$4:$B$237=I1008))"),"USAQUEN")</f>
        <v>USAQUEN</v>
      </c>
      <c r="I995" s="35" t="s">
        <v>457</v>
      </c>
      <c r="J995" s="36" t="s">
        <v>444</v>
      </c>
      <c r="K995" s="108">
        <v>1622735</v>
      </c>
      <c r="L995" s="57"/>
    </row>
    <row r="996" spans="1:12" ht="15.75" customHeight="1">
      <c r="A996" s="243"/>
      <c r="B996" s="228"/>
      <c r="C996" s="228"/>
      <c r="D996" s="228"/>
      <c r="E996" s="228"/>
      <c r="F996" s="228"/>
      <c r="G996" s="71" t="str">
        <f ca="1">IFERROR(__xludf.DUMMYFUNCTION("IF(I1009="""","""",FILTER(DATOS!$D$4:$D$237,DATOS!$B$4:$B$237=I1009))"),"10-045")</f>
        <v>10-045</v>
      </c>
      <c r="H996" s="71" t="str">
        <f ca="1">IFERROR(__xludf.DUMMYFUNCTION("IF(I1009="""","""",FILTER(DATOS!$C$4:$C$237,DATOS!$B$4:$B$237=I1009))"),"ENGATIVA")</f>
        <v>ENGATIVA</v>
      </c>
      <c r="I996" s="35" t="s">
        <v>335</v>
      </c>
      <c r="J996" s="36" t="s">
        <v>444</v>
      </c>
      <c r="K996" s="108">
        <v>12988780</v>
      </c>
      <c r="L996" s="57"/>
    </row>
    <row r="997" spans="1:12" ht="15.75" customHeight="1">
      <c r="A997" s="243"/>
      <c r="B997" s="228"/>
      <c r="C997" s="228"/>
      <c r="D997" s="228"/>
      <c r="E997" s="228"/>
      <c r="F997" s="228"/>
      <c r="G997" s="71" t="str">
        <f ca="1">IFERROR(__xludf.DUMMYFUNCTION("IF(I1010="""","""",FILTER(DATOS!$D$4:$D$237,DATOS!$B$4:$B$237=I1010))"),"10-223")</f>
        <v>10-223</v>
      </c>
      <c r="H997" s="71" t="str">
        <f ca="1">IFERROR(__xludf.DUMMYFUNCTION("IF(I1010="""","""",FILTER(DATOS!$C$4:$C$237,DATOS!$B$4:$B$237=I1010))"),"ENGATIVA")</f>
        <v>ENGATIVA</v>
      </c>
      <c r="I997" s="35" t="s">
        <v>41</v>
      </c>
      <c r="J997" s="36" t="s">
        <v>458</v>
      </c>
      <c r="K997" s="108">
        <v>67934767</v>
      </c>
      <c r="L997" s="57"/>
    </row>
    <row r="998" spans="1:12" ht="15.75" customHeight="1">
      <c r="A998" s="243"/>
      <c r="B998" s="228"/>
      <c r="C998" s="228"/>
      <c r="D998" s="228"/>
      <c r="E998" s="228"/>
      <c r="F998" s="228"/>
      <c r="G998" s="71" t="str">
        <f ca="1">IFERROR(__xludf.DUMMYFUNCTION("IF(I1011="""","""",FILTER(DATOS!$D$4:$D$237,DATOS!$B$4:$B$237=I1011))"),"10-290")</f>
        <v>10-290</v>
      </c>
      <c r="H998" s="71" t="str">
        <f ca="1">IFERROR(__xludf.DUMMYFUNCTION("IF(I1011="""","""",FILTER(DATOS!$C$4:$C$237,DATOS!$B$4:$B$237=I1011))"),"ENGATIVA")</f>
        <v>ENGATIVA</v>
      </c>
      <c r="I998" s="35" t="s">
        <v>62</v>
      </c>
      <c r="J998" s="36" t="s">
        <v>459</v>
      </c>
      <c r="K998" s="108">
        <v>260925096</v>
      </c>
      <c r="L998" s="57"/>
    </row>
    <row r="999" spans="1:12" ht="15.75" customHeight="1">
      <c r="A999" s="243"/>
      <c r="B999" s="228"/>
      <c r="C999" s="228"/>
      <c r="D999" s="228"/>
      <c r="E999" s="228"/>
      <c r="F999" s="228"/>
      <c r="G999" s="71" t="str">
        <f ca="1">IFERROR(__xludf.DUMMYFUNCTION("IF(I1012="""","""",FILTER(DATOS!$D$4:$D$237,DATOS!$B$4:$B$237=I1012))"),"11-052")</f>
        <v>11-052</v>
      </c>
      <c r="H999" s="71" t="str">
        <f ca="1">IFERROR(__xludf.DUMMYFUNCTION("IF(I1012="""","""",FILTER(DATOS!$C$4:$C$237,DATOS!$B$4:$B$237=I1012))"),"SUBA")</f>
        <v>SUBA</v>
      </c>
      <c r="I999" s="35" t="s">
        <v>369</v>
      </c>
      <c r="J999" s="36" t="s">
        <v>444</v>
      </c>
      <c r="K999" s="108">
        <v>12114205</v>
      </c>
      <c r="L999" s="57"/>
    </row>
    <row r="1000" spans="1:12" ht="15.75" customHeight="1">
      <c r="A1000" s="243"/>
      <c r="B1000" s="228"/>
      <c r="C1000" s="228"/>
      <c r="D1000" s="228"/>
      <c r="E1000" s="228"/>
      <c r="F1000" s="228"/>
      <c r="G1000" s="71" t="str">
        <f ca="1">IFERROR(__xludf.DUMMYFUNCTION("IF(I1013="""","""",FILTER(DATOS!$D$4:$D$237,DATOS!$B$4:$B$237=I1013))"),"11-161")</f>
        <v>11-161</v>
      </c>
      <c r="H1000" s="71" t="str">
        <f ca="1">IFERROR(__xludf.DUMMYFUNCTION("IF(I1013="""","""",FILTER(DATOS!$C$4:$C$237,DATOS!$B$4:$B$237=I1013))"),"SUBA")</f>
        <v>SUBA</v>
      </c>
      <c r="I1000" s="35" t="s">
        <v>370</v>
      </c>
      <c r="J1000" s="36" t="s">
        <v>444</v>
      </c>
      <c r="K1000" s="108">
        <v>14605822</v>
      </c>
      <c r="L1000" s="57"/>
    </row>
    <row r="1001" spans="1:12" ht="15.75" customHeight="1">
      <c r="A1001" s="243"/>
      <c r="B1001" s="228"/>
      <c r="C1001" s="228"/>
      <c r="D1001" s="228"/>
      <c r="E1001" s="228"/>
      <c r="F1001" s="228"/>
      <c r="G1001" s="71" t="str">
        <f ca="1">IFERROR(__xludf.DUMMYFUNCTION("IF(I1014="""","""",FILTER(DATOS!$D$4:$D$237,DATOS!$B$4:$B$237=I1014))"),"13-015")</f>
        <v>13-015</v>
      </c>
      <c r="H1001" s="71" t="str">
        <f ca="1">IFERROR(__xludf.DUMMYFUNCTION("IF(I1014="""","""",FILTER(DATOS!$C$4:$C$237,DATOS!$B$4:$B$237=I1014))"),"TEUSAQUILLO")</f>
        <v>TEUSAQUILLO</v>
      </c>
      <c r="I1001" s="35" t="s">
        <v>371</v>
      </c>
      <c r="J1001" s="36" t="s">
        <v>444</v>
      </c>
      <c r="K1001" s="108">
        <v>30835560</v>
      </c>
      <c r="L1001" s="57"/>
    </row>
    <row r="1002" spans="1:12" ht="15.75" customHeight="1">
      <c r="A1002" s="243"/>
      <c r="B1002" s="228"/>
      <c r="C1002" s="228"/>
      <c r="D1002" s="228"/>
      <c r="E1002" s="228"/>
      <c r="F1002" s="228"/>
      <c r="G1002" s="71" t="str">
        <f ca="1">IFERROR(__xludf.DUMMYFUNCTION("IF(I1015="""","""",FILTER(DATOS!$D$4:$D$237,DATOS!$B$4:$B$237=I1015))"),"16-153")</f>
        <v>16-153</v>
      </c>
      <c r="H1002" s="71" t="str">
        <f ca="1">IFERROR(__xludf.DUMMYFUNCTION("IF(I1015="""","""",FILTER(DATOS!$C$4:$C$237,DATOS!$B$4:$B$237=I1015))"),"PUENTE ARANDA")</f>
        <v>PUENTE ARANDA</v>
      </c>
      <c r="I1002" s="35" t="s">
        <v>350</v>
      </c>
      <c r="J1002" s="36" t="s">
        <v>444</v>
      </c>
      <c r="K1002" s="108">
        <v>33009275</v>
      </c>
      <c r="L1002" s="57"/>
    </row>
    <row r="1003" spans="1:12" ht="15.75" customHeight="1">
      <c r="A1003" s="243"/>
      <c r="B1003" s="228"/>
      <c r="C1003" s="228"/>
      <c r="D1003" s="228"/>
      <c r="E1003" s="228"/>
      <c r="F1003" s="228"/>
      <c r="G1003" s="71" t="str">
        <f ca="1">IFERROR(__xludf.DUMMYFUNCTION("IF(I1016="""","""",FILTER(DATOS!$D$4:$D$237,DATOS!$B$4:$B$237=I1016))"),"11-204")</f>
        <v>11-204</v>
      </c>
      <c r="H1003" s="71" t="str">
        <f ca="1">IFERROR(__xludf.DUMMYFUNCTION("IF(I1016="""","""",FILTER(DATOS!$C$4:$C$237,DATOS!$B$4:$B$237=I1016))"),"SUBA")</f>
        <v>SUBA</v>
      </c>
      <c r="I1003" s="35" t="s">
        <v>68</v>
      </c>
      <c r="J1003" s="36" t="s">
        <v>460</v>
      </c>
      <c r="K1003" s="108">
        <v>171836289</v>
      </c>
      <c r="L1003" s="57"/>
    </row>
    <row r="1004" spans="1:12" ht="15.75" customHeight="1">
      <c r="A1004" s="243"/>
      <c r="B1004" s="228"/>
      <c r="C1004" s="228"/>
      <c r="D1004" s="228"/>
      <c r="E1004" s="228"/>
      <c r="F1004" s="228"/>
      <c r="G1004" s="71" t="str">
        <f ca="1">IFERROR(__xludf.DUMMYFUNCTION("IF(I1017="""","""",FILTER(DATOS!$D$4:$D$237,DATOS!$B$4:$B$237=I1017))"),"14-030")</f>
        <v>14-030</v>
      </c>
      <c r="H1004" s="71" t="str">
        <f ca="1">IFERROR(__xludf.DUMMYFUNCTION("IF(I1017="""","""",FILTER(DATOS!$C$4:$C$237,DATOS!$B$4:$B$237=I1017))"),"MARTIRES")</f>
        <v>MARTIRES</v>
      </c>
      <c r="I1004" s="35" t="s">
        <v>82</v>
      </c>
      <c r="J1004" s="81" t="s">
        <v>461</v>
      </c>
      <c r="K1004" s="108">
        <v>35373206</v>
      </c>
      <c r="L1004" s="57"/>
    </row>
    <row r="1005" spans="1:12" ht="15.75" customHeight="1">
      <c r="A1005" s="243"/>
      <c r="B1005" s="228"/>
      <c r="C1005" s="228"/>
      <c r="D1005" s="228"/>
      <c r="E1005" s="228"/>
      <c r="F1005" s="228"/>
      <c r="G1005" s="71" t="str">
        <f ca="1">IFERROR(__xludf.DUMMYFUNCTION("IF(I1018="""","""",FILTER(DATOS!$D$4:$D$237,DATOS!$B$4:$B$237=I1018))"),"10-192")</f>
        <v>10-192</v>
      </c>
      <c r="H1005" s="71" t="str">
        <f ca="1">IFERROR(__xludf.DUMMYFUNCTION("IF(I1018="""","""",FILTER(DATOS!$C$4:$C$237,DATOS!$B$4:$B$237=I1018))"),"ENGATIVA")</f>
        <v>ENGATIVA</v>
      </c>
      <c r="I1005" s="35" t="s">
        <v>33</v>
      </c>
      <c r="J1005" s="81" t="s">
        <v>462</v>
      </c>
      <c r="K1005" s="108">
        <v>215709274</v>
      </c>
      <c r="L1005" s="57"/>
    </row>
    <row r="1006" spans="1:12" ht="15.75" customHeight="1">
      <c r="A1006" s="243"/>
      <c r="B1006" s="228"/>
      <c r="C1006" s="228"/>
      <c r="D1006" s="228"/>
      <c r="E1006" s="228"/>
      <c r="F1006" s="228"/>
      <c r="G1006" s="71" t="str">
        <f ca="1">IFERROR(__xludf.DUMMYFUNCTION("IF(I1019="""","""",FILTER(DATOS!$D$4:$D$237,DATOS!$B$4:$B$237=I1019))"),"11-212")</f>
        <v>11-212</v>
      </c>
      <c r="H1006" s="71" t="str">
        <f ca="1">IFERROR(__xludf.DUMMYFUNCTION("IF(I1019="""","""",FILTER(DATOS!$C$4:$C$237,DATOS!$B$4:$B$237=I1019))"),"SUBA")</f>
        <v>SUBA</v>
      </c>
      <c r="I1006" s="35" t="s">
        <v>27</v>
      </c>
      <c r="J1006" s="81" t="s">
        <v>463</v>
      </c>
      <c r="K1006" s="108">
        <v>1463167714</v>
      </c>
      <c r="L1006" s="57"/>
    </row>
    <row r="1007" spans="1:12" ht="15.75" customHeight="1">
      <c r="A1007" s="243"/>
      <c r="B1007" s="228"/>
      <c r="C1007" s="228"/>
      <c r="D1007" s="228"/>
      <c r="E1007" s="228"/>
      <c r="F1007" s="228"/>
      <c r="G1007" s="71" t="str">
        <f ca="1">IFERROR(__xludf.DUMMYFUNCTION("IF(I1020="""","""",FILTER(DATOS!$D$4:$D$237,DATOS!$B$4:$B$237=I1020))"),"12-015")</f>
        <v>12-015</v>
      </c>
      <c r="H1007" s="71" t="str">
        <f ca="1">IFERROR(__xludf.DUMMYFUNCTION("IF(I1020="""","""",FILTER(DATOS!$C$4:$C$237,DATOS!$B$4:$B$237=I1020))"),"BARRIOS UNIDOS")</f>
        <v>BARRIOS UNIDOS</v>
      </c>
      <c r="I1007" s="35" t="s">
        <v>19</v>
      </c>
      <c r="J1007" s="81" t="s">
        <v>441</v>
      </c>
      <c r="K1007" s="108">
        <v>2059971</v>
      </c>
      <c r="L1007" s="57"/>
    </row>
    <row r="1008" spans="1:12" ht="15.75" customHeight="1">
      <c r="A1008" s="243"/>
      <c r="B1008" s="228"/>
      <c r="C1008" s="228"/>
      <c r="D1008" s="228"/>
      <c r="E1008" s="228"/>
      <c r="F1008" s="228"/>
      <c r="G1008" s="71" t="str">
        <f ca="1">IFERROR(__xludf.DUMMYFUNCTION("IF(I1021="""","""",FILTER(DATOS!$D$4:$D$237,DATOS!$B$4:$B$237=I1021))"),"01-031")</f>
        <v>01-031</v>
      </c>
      <c r="H1008" s="71" t="str">
        <f ca="1">IFERROR(__xludf.DUMMYFUNCTION("IF(I1021="""","""",FILTER(DATOS!$C$4:$C$237,DATOS!$B$4:$B$237=I1021))"),"USAQUEN")</f>
        <v>USAQUEN</v>
      </c>
      <c r="I1008" s="35" t="s">
        <v>375</v>
      </c>
      <c r="J1008" s="36" t="s">
        <v>444</v>
      </c>
      <c r="K1008" s="108">
        <v>50253154</v>
      </c>
      <c r="L1008" s="57"/>
    </row>
    <row r="1009" spans="1:12" ht="15.75" customHeight="1">
      <c r="A1009" s="243"/>
      <c r="B1009" s="228"/>
      <c r="C1009" s="228"/>
      <c r="D1009" s="228"/>
      <c r="E1009" s="228"/>
      <c r="F1009" s="228"/>
      <c r="G1009" s="71" t="str">
        <f ca="1">IFERROR(__xludf.DUMMYFUNCTION("IF(I1022="""","""",FILTER(DATOS!$D$4:$D$237,DATOS!$B$4:$B$237=I1022))"),"13-123")</f>
        <v>13-123</v>
      </c>
      <c r="H1009" s="71" t="str">
        <f ca="1">IFERROR(__xludf.DUMMYFUNCTION("IF(I1022="""","""",FILTER(DATOS!$C$4:$C$237,DATOS!$B$4:$B$237=I1022))"),"TEUSAQUILLO")</f>
        <v>TEUSAQUILLO</v>
      </c>
      <c r="I1009" s="35" t="s">
        <v>23</v>
      </c>
      <c r="J1009" s="81" t="s">
        <v>464</v>
      </c>
      <c r="K1009" s="108">
        <v>149150838</v>
      </c>
      <c r="L1009" s="57"/>
    </row>
    <row r="1010" spans="1:12" ht="15.75" customHeight="1">
      <c r="A1010" s="243"/>
      <c r="B1010" s="228"/>
      <c r="C1010" s="228"/>
      <c r="D1010" s="228"/>
      <c r="E1010" s="228"/>
      <c r="F1010" s="228"/>
      <c r="G1010" s="71" t="str">
        <f ca="1">IFERROR(__xludf.DUMMYFUNCTION("IF(I1023="""","""",FILTER(DATOS!$D$4:$D$237,DATOS!$B$4:$B$237=I1023))"),"16-204")</f>
        <v>16-204</v>
      </c>
      <c r="H1010" s="71" t="str">
        <f ca="1">IFERROR(__xludf.DUMMYFUNCTION("IF(I1023="""","""",FILTER(DATOS!$C$4:$C$237,DATOS!$B$4:$B$237=I1023))"),"PUENTE ARANDA")</f>
        <v>PUENTE ARANDA</v>
      </c>
      <c r="I1010" s="35" t="s">
        <v>83</v>
      </c>
      <c r="J1010" s="81" t="s">
        <v>465</v>
      </c>
      <c r="K1010" s="108">
        <v>382910186</v>
      </c>
      <c r="L1010" s="57"/>
    </row>
    <row r="1011" spans="1:12" ht="15.75" customHeight="1">
      <c r="A1011" s="243"/>
      <c r="B1011" s="228"/>
      <c r="C1011" s="228"/>
      <c r="D1011" s="228"/>
      <c r="E1011" s="228"/>
      <c r="F1011" s="228"/>
      <c r="G1011" s="71" t="str">
        <f ca="1">IFERROR(__xludf.DUMMYFUNCTION("IF(I1024="""","""",FILTER(DATOS!$D$4:$D$237,DATOS!$B$4:$B$237=I1024))"),"01-118")</f>
        <v>01-118</v>
      </c>
      <c r="H1011" s="71" t="str">
        <f ca="1">IFERROR(__xludf.DUMMYFUNCTION("IF(I1024="""","""",FILTER(DATOS!$C$4:$C$237,DATOS!$B$4:$B$237=I1024))"),"USAQUEN")</f>
        <v>USAQUEN</v>
      </c>
      <c r="I1011" s="35" t="s">
        <v>466</v>
      </c>
      <c r="J1011" s="36" t="s">
        <v>467</v>
      </c>
      <c r="K1011" s="108">
        <v>13284598</v>
      </c>
      <c r="L1011" s="57"/>
    </row>
    <row r="1012" spans="1:12" ht="15.75" customHeight="1">
      <c r="A1012" s="243"/>
      <c r="B1012" s="228"/>
      <c r="C1012" s="228"/>
      <c r="D1012" s="228"/>
      <c r="E1012" s="228"/>
      <c r="F1012" s="228"/>
      <c r="G1012" s="71" t="str">
        <f ca="1">IFERROR(__xludf.DUMMYFUNCTION("IF(I1025="""","""",FILTER(DATOS!$D$4:$D$237,DATOS!$B$4:$B$237=I1025))"),"11-205")</f>
        <v>11-205</v>
      </c>
      <c r="H1012" s="71" t="str">
        <f ca="1">IFERROR(__xludf.DUMMYFUNCTION("IF(I1025="""","""",FILTER(DATOS!$C$4:$C$237,DATOS!$B$4:$B$237=I1025))"),"SUBA")</f>
        <v>SUBA</v>
      </c>
      <c r="I1012" s="35" t="s">
        <v>39</v>
      </c>
      <c r="J1012" s="36" t="s">
        <v>468</v>
      </c>
      <c r="K1012" s="108">
        <v>194575504</v>
      </c>
      <c r="L1012" s="57"/>
    </row>
    <row r="1013" spans="1:12" ht="15.75" customHeight="1">
      <c r="A1013" s="243"/>
      <c r="B1013" s="228"/>
      <c r="C1013" s="228"/>
      <c r="D1013" s="228"/>
      <c r="E1013" s="228"/>
      <c r="F1013" s="228"/>
      <c r="G1013" s="71" t="str">
        <f ca="1">IFERROR(__xludf.DUMMYFUNCTION("IF(I1026="""","""",FILTER(DATOS!$D$4:$D$237,DATOS!$B$4:$B$237=I1026))"),"12-035")</f>
        <v>12-035</v>
      </c>
      <c r="H1013" s="71" t="str">
        <f ca="1">IFERROR(__xludf.DUMMYFUNCTION("IF(I1026="""","""",FILTER(DATOS!$C$4:$C$237,DATOS!$B$4:$B$237=I1026))"),"BARRIOS UNIDOS")</f>
        <v>BARRIOS UNIDOS</v>
      </c>
      <c r="I1013" s="35" t="s">
        <v>320</v>
      </c>
      <c r="J1013" s="36" t="s">
        <v>469</v>
      </c>
      <c r="K1013" s="108">
        <v>2522534</v>
      </c>
      <c r="L1013" s="57"/>
    </row>
    <row r="1014" spans="1:12" ht="15.75" customHeight="1">
      <c r="A1014" s="243"/>
      <c r="B1014" s="228"/>
      <c r="C1014" s="228"/>
      <c r="D1014" s="228"/>
      <c r="E1014" s="228"/>
      <c r="F1014" s="228"/>
      <c r="G1014" s="71" t="str">
        <f ca="1">IFERROR(__xludf.DUMMYFUNCTION("IF(I1027="""","""",FILTER(DATOS!$D$4:$D$237,DATOS!$B$4:$B$237=I1027))"),"09-200")</f>
        <v>09-200</v>
      </c>
      <c r="H1014" s="71" t="str">
        <f ca="1">IFERROR(__xludf.DUMMYFUNCTION("IF(I1027="""","""",FILTER(DATOS!$C$4:$C$237,DATOS!$B$4:$B$237=I1027))"),"FONTIBON")</f>
        <v>FONTIBON</v>
      </c>
      <c r="I1014" s="35" t="s">
        <v>340</v>
      </c>
      <c r="J1014" s="36" t="s">
        <v>444</v>
      </c>
      <c r="K1014" s="108">
        <v>69781387</v>
      </c>
      <c r="L1014" s="57"/>
    </row>
    <row r="1015" spans="1:12" ht="15.75" customHeight="1">
      <c r="A1015" s="243"/>
      <c r="B1015" s="228"/>
      <c r="C1015" s="228"/>
      <c r="D1015" s="228"/>
      <c r="E1015" s="228"/>
      <c r="F1015" s="228"/>
      <c r="G1015" s="71" t="str">
        <f ca="1">IFERROR(__xludf.DUMMYFUNCTION("IF(I1028="""","""",FILTER(DATOS!$D$4:$D$237,DATOS!$B$4:$B$237=I1028))"),"09-048")</f>
        <v>09-048</v>
      </c>
      <c r="H1015" s="71" t="str">
        <f ca="1">IFERROR(__xludf.DUMMYFUNCTION("IF(I1028="""","""",FILTER(DATOS!$C$4:$C$237,DATOS!$B$4:$B$237=I1028))"),"FONTIBON")</f>
        <v>FONTIBON</v>
      </c>
      <c r="I1015" s="35" t="s">
        <v>338</v>
      </c>
      <c r="J1015" s="36" t="s">
        <v>444</v>
      </c>
      <c r="K1015" s="108">
        <v>281146589</v>
      </c>
      <c r="L1015" s="57"/>
    </row>
    <row r="1016" spans="1:12" ht="15.75" customHeight="1">
      <c r="A1016" s="243"/>
      <c r="B1016" s="228"/>
      <c r="C1016" s="228"/>
      <c r="D1016" s="228"/>
      <c r="E1016" s="228"/>
      <c r="F1016" s="228"/>
      <c r="G1016" s="70" t="str">
        <f ca="1">IFERROR(__xludf.DUMMYFUNCTION("IF(I1029="""","""",FILTER(DATOS!$D$4:$D$237,DATOS!$B$4:$B$237=I1029))"),"11-368")</f>
        <v>11-368</v>
      </c>
      <c r="H1016" s="70" t="str">
        <f ca="1">IFERROR(__xludf.DUMMYFUNCTION("IF(I1029="""","""",FILTER(DATOS!$C$4:$C$237,DATOS!$B$4:$B$237=I1029))"),"SUBA")</f>
        <v>SUBA</v>
      </c>
      <c r="I1016" s="35" t="s">
        <v>35</v>
      </c>
      <c r="J1016" s="36" t="s">
        <v>470</v>
      </c>
      <c r="K1016" s="108">
        <v>604163830</v>
      </c>
      <c r="L1016" s="57"/>
    </row>
    <row r="1017" spans="1:12" ht="15.75" customHeight="1">
      <c r="A1017" s="243"/>
      <c r="B1017" s="228"/>
      <c r="C1017" s="228"/>
      <c r="D1017" s="228"/>
      <c r="E1017" s="228"/>
      <c r="F1017" s="249"/>
      <c r="G1017" s="109" t="str">
        <f ca="1">IFERROR(__xludf.DUMMYFUNCTION("IF(I1030="""","""",FILTER(DATOS!$D$4:$D$237,DATOS!$B$4:$B$237=I1030))"),"11-058")</f>
        <v>11-058</v>
      </c>
      <c r="H1017" s="109" t="str">
        <f ca="1">IFERROR(__xludf.DUMMYFUNCTION("IF(I1030="""","""",FILTER(DATOS!$C$4:$C$237,DATOS!$B$4:$B$237=I1030))"),"SUBA")</f>
        <v>SUBA</v>
      </c>
      <c r="I1017" s="84" t="s">
        <v>360</v>
      </c>
      <c r="J1017" s="36" t="s">
        <v>444</v>
      </c>
      <c r="K1017" s="108">
        <v>103947842</v>
      </c>
      <c r="L1017" s="57"/>
    </row>
    <row r="1018" spans="1:12" ht="15.75" customHeight="1">
      <c r="A1018" s="243"/>
      <c r="B1018" s="228"/>
      <c r="C1018" s="228"/>
      <c r="D1018" s="228"/>
      <c r="E1018" s="228"/>
      <c r="F1018" s="228"/>
      <c r="G1018" s="71" t="str">
        <f ca="1">IFERROR(__xludf.DUMMYFUNCTION("IF(I1273="""","""",FILTER(DATOS!$D$4:$D$237,DATOS!$B$4:$B$237=I1273))"),"13-089")</f>
        <v>13-089</v>
      </c>
      <c r="H1018" s="71" t="str">
        <f ca="1">IFERROR(__xludf.DUMMYFUNCTION("IF(I1273="""","""",FILTER(DATOS!$C$4:$C$237,DATOS!$B$4:$B$237=I1273))"),"TEUSAQUILLO")</f>
        <v>TEUSAQUILLO</v>
      </c>
      <c r="I1018" s="35" t="s">
        <v>59</v>
      </c>
      <c r="J1018" s="36" t="s">
        <v>471</v>
      </c>
      <c r="K1018" s="108">
        <v>190874379</v>
      </c>
      <c r="L1018" s="57"/>
    </row>
    <row r="1019" spans="1:12" ht="15.75" customHeight="1">
      <c r="A1019" s="243"/>
      <c r="B1019" s="228"/>
      <c r="C1019" s="228"/>
      <c r="D1019" s="228"/>
      <c r="E1019" s="228"/>
      <c r="F1019" s="228"/>
      <c r="G1019" s="71" t="str">
        <f ca="1">IFERROR(__xludf.DUMMYFUNCTION("IF(I1032="""","""",FILTER(DATOS!$D$4:$D$237,DATOS!$B$4:$B$237=I1032))"),"13-123")</f>
        <v>13-123</v>
      </c>
      <c r="H1019" s="71" t="str">
        <f ca="1">IFERROR(__xludf.DUMMYFUNCTION("IF(I1032="""","""",FILTER(DATOS!$C$4:$C$237,DATOS!$B$4:$B$237=I1032))"),"TEUSAQUILLO")</f>
        <v>TEUSAQUILLO</v>
      </c>
      <c r="I1019" s="35" t="s">
        <v>23</v>
      </c>
      <c r="J1019" s="36" t="s">
        <v>472</v>
      </c>
      <c r="K1019" s="108">
        <v>17291565</v>
      </c>
      <c r="L1019" s="57"/>
    </row>
    <row r="1020" spans="1:12" ht="15.75" customHeight="1">
      <c r="A1020" s="243"/>
      <c r="B1020" s="228"/>
      <c r="C1020" s="228"/>
      <c r="D1020" s="228"/>
      <c r="E1020" s="228"/>
      <c r="F1020" s="228"/>
      <c r="G1020" s="71" t="str">
        <f ca="1">IFERROR(__xludf.DUMMYFUNCTION("IF(I1033="""","""",FILTER(DATOS!$D$4:$D$237,DATOS!$B$4:$B$237=I1033))"),"16-126")</f>
        <v>16-126</v>
      </c>
      <c r="H1020" s="71" t="str">
        <f ca="1">IFERROR(__xludf.DUMMYFUNCTION("IF(I1033="""","""",FILTER(DATOS!$C$4:$C$237,DATOS!$B$4:$B$237=I1033))"),"PUENTE ARANDA")</f>
        <v>PUENTE ARANDA</v>
      </c>
      <c r="I1020" s="35" t="s">
        <v>349</v>
      </c>
      <c r="J1020" s="36" t="s">
        <v>444</v>
      </c>
      <c r="K1020" s="108">
        <v>44273988</v>
      </c>
      <c r="L1020" s="57"/>
    </row>
    <row r="1021" spans="1:12" ht="15.75" customHeight="1">
      <c r="A1021" s="243"/>
      <c r="B1021" s="228"/>
      <c r="C1021" s="228"/>
      <c r="D1021" s="228"/>
      <c r="E1021" s="228"/>
      <c r="F1021" s="228"/>
      <c r="G1021" s="71" t="str">
        <f ca="1">IFERROR(__xludf.DUMMYFUNCTION("IF(I1034="""","""",FILTER(DATOS!$D$4:$D$237,DATOS!$B$4:$B$237=I1034))"),"01-540")</f>
        <v>01-540</v>
      </c>
      <c r="H1021" s="71" t="str">
        <f ca="1">IFERROR(__xludf.DUMMYFUNCTION("IF(I1034="""","""",FILTER(DATOS!$C$4:$C$237,DATOS!$B$4:$B$237=I1034))"),"USAQUEN")</f>
        <v>USAQUEN</v>
      </c>
      <c r="I1021" s="35" t="s">
        <v>378</v>
      </c>
      <c r="J1021" s="36" t="s">
        <v>444</v>
      </c>
      <c r="K1021" s="108">
        <v>10230744</v>
      </c>
      <c r="L1021" s="57"/>
    </row>
    <row r="1022" spans="1:12" ht="15.75" customHeight="1">
      <c r="A1022" s="243"/>
      <c r="B1022" s="228"/>
      <c r="C1022" s="228"/>
      <c r="D1022" s="228"/>
      <c r="E1022" s="228"/>
      <c r="F1022" s="228"/>
      <c r="G1022" s="71" t="str">
        <f ca="1">IFERROR(__xludf.DUMMYFUNCTION("IF(I1035="""","""",FILTER(DATOS!$D$4:$D$237,DATOS!$B$4:$B$237=I1035))"),"10-190")</f>
        <v>10-190</v>
      </c>
      <c r="H1022" s="71" t="str">
        <f ca="1">IFERROR(__xludf.DUMMYFUNCTION("IF(I1035="""","""",FILTER(DATOS!$C$4:$C$237,DATOS!$B$4:$B$237=I1035))"),"ENGATIVA")</f>
        <v>ENGATIVA</v>
      </c>
      <c r="I1022" s="36" t="s">
        <v>336</v>
      </c>
      <c r="J1022" s="36" t="s">
        <v>444</v>
      </c>
      <c r="K1022" s="108">
        <v>66658584</v>
      </c>
      <c r="L1022" s="57"/>
    </row>
    <row r="1023" spans="1:12" ht="15.75" customHeight="1">
      <c r="A1023" s="243"/>
      <c r="B1023" s="228"/>
      <c r="C1023" s="228"/>
      <c r="D1023" s="228"/>
      <c r="E1023" s="228"/>
      <c r="F1023" s="228"/>
      <c r="G1023" s="71" t="str">
        <f ca="1">IFERROR(__xludf.DUMMYFUNCTION("IF(I1036="""","""",FILTER(DATOS!$D$4:$D$237,DATOS!$B$4:$B$237=I1036))"),"10-215")</f>
        <v>10-215</v>
      </c>
      <c r="H1023" s="71" t="str">
        <f ca="1">IFERROR(__xludf.DUMMYFUNCTION("IF(I1036="""","""",FILTER(DATOS!$C$4:$C$237,DATOS!$B$4:$B$237=I1036))"),"ENGATIVA")</f>
        <v>ENGATIVA</v>
      </c>
      <c r="I1023" s="36" t="s">
        <v>22</v>
      </c>
      <c r="J1023" s="36" t="s">
        <v>473</v>
      </c>
      <c r="K1023" s="108">
        <v>5122175</v>
      </c>
      <c r="L1023" s="57"/>
    </row>
    <row r="1024" spans="1:12" ht="15.75" customHeight="1" thickBot="1">
      <c r="A1024" s="244"/>
      <c r="B1024" s="246"/>
      <c r="C1024" s="246"/>
      <c r="D1024" s="246"/>
      <c r="E1024" s="246"/>
      <c r="F1024" s="246"/>
      <c r="G1024" s="110" t="str">
        <f ca="1">IFERROR(__xludf.DUMMYFUNCTION("IF(I1037="""","""",FILTER(DATOS!$D$4:$D$237,DATOS!$B$4:$B$237=I1037))"),"13-128")</f>
        <v>13-128</v>
      </c>
      <c r="H1024" s="110" t="str">
        <f ca="1">IFERROR(__xludf.DUMMYFUNCTION("IF(I1037="""","""",FILTER(DATOS!$C$4:$C$237,DATOS!$B$4:$B$237=I1037))"),"TEUSAQUILLO")</f>
        <v>TEUSAQUILLO</v>
      </c>
      <c r="I1024" s="111" t="s">
        <v>43</v>
      </c>
      <c r="J1024" s="112" t="s">
        <v>473</v>
      </c>
      <c r="K1024" s="113">
        <v>2726678</v>
      </c>
      <c r="L1024" s="57"/>
    </row>
    <row r="1025" spans="1:12" ht="24.75" customHeight="1">
      <c r="A1025" s="233" t="s">
        <v>474</v>
      </c>
      <c r="B1025" s="233" t="s">
        <v>475</v>
      </c>
      <c r="C1025" s="233" t="s">
        <v>476</v>
      </c>
      <c r="D1025" s="236">
        <v>45616</v>
      </c>
      <c r="E1025" s="236">
        <v>45857</v>
      </c>
      <c r="F1025" s="239">
        <v>0.2681</v>
      </c>
      <c r="G1025" s="114" t="str">
        <f ca="1">IFERROR(__xludf.DUMMYFUNCTION("IF(I1038="""","""",FILTER(DATOS!$D$4:$D$237,DATOS!$B$4:$B$237=I1038))"),"10-192")</f>
        <v>10-192</v>
      </c>
      <c r="H1025" s="114" t="str">
        <f ca="1">IFERROR(__xludf.DUMMYFUNCTION("IF(I1038="""","""",FILTER(DATOS!$C$4:$C$237,DATOS!$B$4:$B$237=I1038))"),"ENGATIVA")</f>
        <v>ENGATIVA</v>
      </c>
      <c r="I1025" s="115" t="s">
        <v>33</v>
      </c>
      <c r="J1025" s="116" t="s">
        <v>477</v>
      </c>
      <c r="K1025" s="117">
        <v>2243465.84</v>
      </c>
      <c r="L1025" s="57">
        <v>5200000000</v>
      </c>
    </row>
    <row r="1026" spans="1:12" ht="24.75">
      <c r="A1026" s="234"/>
      <c r="B1026" s="234"/>
      <c r="C1026" s="234"/>
      <c r="D1026" s="237"/>
      <c r="E1026" s="237"/>
      <c r="F1026" s="240"/>
      <c r="G1026" s="109" t="str">
        <f ca="1">IFERROR(__xludf.DUMMYFUNCTION("IF(I1039="""","""",FILTER(DATOS!$D$4:$D$237,DATOS!$B$4:$B$237=I1039))"),"12-091")</f>
        <v>12-091</v>
      </c>
      <c r="H1026" s="109" t="str">
        <f ca="1">IFERROR(__xludf.DUMMYFUNCTION("IF(I1039="""","""",FILTER(DATOS!$C$4:$C$237,DATOS!$B$4:$B$237=I1039))"),"BARRIOS UNIDOS")</f>
        <v>BARRIOS UNIDOS</v>
      </c>
      <c r="I1026" s="118" t="s">
        <v>53</v>
      </c>
      <c r="J1026" s="119" t="s">
        <v>477</v>
      </c>
      <c r="K1026" s="120">
        <v>3936635.84</v>
      </c>
      <c r="L1026" s="57"/>
    </row>
    <row r="1027" spans="1:12" ht="24.75">
      <c r="A1027" s="234"/>
      <c r="B1027" s="234"/>
      <c r="C1027" s="234"/>
      <c r="D1027" s="237"/>
      <c r="E1027" s="237"/>
      <c r="F1027" s="240"/>
      <c r="G1027" s="109" t="str">
        <f ca="1">IFERROR(__xludf.DUMMYFUNCTION("IF(I1040="""","""",FILTER(DATOS!$D$4:$D$237,DATOS!$B$4:$B$237=I1040))"),"03-035")</f>
        <v>03-035</v>
      </c>
      <c r="H1027" s="109" t="str">
        <f ca="1">IFERROR(__xludf.DUMMYFUNCTION("IF(I1040="""","""",FILTER(DATOS!$C$4:$C$237,DATOS!$B$4:$B$237=I1040))"),"SANTAFE")</f>
        <v>SANTAFE</v>
      </c>
      <c r="I1027" s="118" t="s">
        <v>46</v>
      </c>
      <c r="J1027" s="119" t="s">
        <v>477</v>
      </c>
      <c r="K1027" s="120">
        <v>3074564.87</v>
      </c>
      <c r="L1027" s="57"/>
    </row>
    <row r="1028" spans="1:12" ht="24.75">
      <c r="A1028" s="234"/>
      <c r="B1028" s="234"/>
      <c r="C1028" s="234"/>
      <c r="D1028" s="237"/>
      <c r="E1028" s="237"/>
      <c r="F1028" s="240"/>
      <c r="G1028" s="109" t="str">
        <f ca="1">IFERROR(__xludf.DUMMYFUNCTION("IF(I1041="""","""",FILTER(DATOS!$D$4:$D$237,DATOS!$B$4:$B$237=I1041))"),"04-127")</f>
        <v>04-127</v>
      </c>
      <c r="H1028" s="109" t="str">
        <f ca="1">IFERROR(__xludf.DUMMYFUNCTION("IF(I1041="""","""",FILTER(DATOS!$C$4:$C$237,DATOS!$B$4:$B$237=I1041))"),"SAN CRISTOBAL")</f>
        <v>SAN CRISTOBAL</v>
      </c>
      <c r="I1028" s="118" t="s">
        <v>123</v>
      </c>
      <c r="J1028" s="119" t="s">
        <v>477</v>
      </c>
      <c r="K1028" s="120">
        <v>3074564.87</v>
      </c>
      <c r="L1028" s="57"/>
    </row>
    <row r="1029" spans="1:12" ht="24.75">
      <c r="A1029" s="234"/>
      <c r="B1029" s="234"/>
      <c r="C1029" s="234"/>
      <c r="D1029" s="237"/>
      <c r="E1029" s="237"/>
      <c r="F1029" s="240"/>
      <c r="G1029" s="109" t="str">
        <f ca="1">IFERROR(__xludf.DUMMYFUNCTION("IF(I1042="""","""",FILTER(DATOS!$D$4:$D$237,DATOS!$B$4:$B$237=I1042))"),"06-063")</f>
        <v>06-063</v>
      </c>
      <c r="H1029" s="109" t="str">
        <f ca="1">IFERROR(__xludf.DUMMYFUNCTION("IF(I1042="""","""",FILTER(DATOS!$C$4:$C$237,DATOS!$B$4:$B$237=I1042))"),"TUNJUELITO")</f>
        <v>TUNJUELITO</v>
      </c>
      <c r="I1029" s="118" t="s">
        <v>87</v>
      </c>
      <c r="J1029" s="119" t="s">
        <v>478</v>
      </c>
      <c r="K1029" s="120">
        <v>4206688.45</v>
      </c>
      <c r="L1029" s="57"/>
    </row>
    <row r="1030" spans="1:12" ht="24">
      <c r="A1030" s="234"/>
      <c r="B1030" s="234"/>
      <c r="C1030" s="234"/>
      <c r="D1030" s="237"/>
      <c r="E1030" s="237"/>
      <c r="F1030" s="240"/>
      <c r="G1030" s="109" t="str">
        <f ca="1">IFERROR(__xludf.DUMMYFUNCTION("IF(I1043="""","""",FILTER(DATOS!$D$4:$D$237,DATOS!$B$4:$B$237=I1043))"),"08-219")</f>
        <v>08-219</v>
      </c>
      <c r="H1030" s="109" t="str">
        <f ca="1">IFERROR(__xludf.DUMMYFUNCTION("IF(I1043="""","""",FILTER(DATOS!$C$4:$C$237,DATOS!$B$4:$B$237=I1043))"),"KENNEDY")</f>
        <v>KENNEDY</v>
      </c>
      <c r="I1030" s="118" t="s">
        <v>132</v>
      </c>
      <c r="J1030" s="121" t="s">
        <v>477</v>
      </c>
      <c r="K1030" s="120">
        <v>1924098.84</v>
      </c>
      <c r="L1030" s="57"/>
    </row>
    <row r="1031" spans="1:12" ht="24">
      <c r="A1031" s="234"/>
      <c r="B1031" s="234"/>
      <c r="C1031" s="234"/>
      <c r="D1031" s="237"/>
      <c r="E1031" s="237"/>
      <c r="F1031" s="240"/>
      <c r="G1031" s="122" t="str">
        <f ca="1">IFERROR(__xludf.DUMMYFUNCTION("IF(I1044="""","""",FILTER(DATOS!$D$4:$D$237,DATOS!$B$4:$B$237=I1044))"),"01-1000")</f>
        <v>01-1000</v>
      </c>
      <c r="H1031" s="122" t="str">
        <f ca="1">IFERROR(__xludf.DUMMYFUNCTION("IF(I1044="""","""",FILTER(DATOS!$C$4:$C$237,DATOS!$B$4:$B$237=I1044))"),"USAQUEN")</f>
        <v>USAQUEN</v>
      </c>
      <c r="I1031" s="118" t="s">
        <v>29</v>
      </c>
      <c r="J1031" s="121" t="s">
        <v>477</v>
      </c>
      <c r="K1031" s="120">
        <v>4532232</v>
      </c>
      <c r="L1031" s="57"/>
    </row>
    <row r="1032" spans="1:12">
      <c r="A1032" s="234"/>
      <c r="B1032" s="234"/>
      <c r="C1032" s="234"/>
      <c r="D1032" s="237"/>
      <c r="E1032" s="237"/>
      <c r="F1032" s="240"/>
      <c r="G1032" s="109" t="str">
        <f ca="1">IFERROR(__xludf.DUMMYFUNCTION("IF(I1045="""","""",FILTER(DATOS!$D$4:$D$237,DATOS!$B$4:$B$237=I1045))"),"01-023")</f>
        <v>01-023</v>
      </c>
      <c r="H1032" s="109" t="str">
        <f ca="1">IFERROR(__xludf.DUMMYFUNCTION("IF(I1045="""","""",FILTER(DATOS!$C$4:$C$237,DATOS!$B$4:$B$237=I1045))"),"USAQUEN")</f>
        <v>USAQUEN</v>
      </c>
      <c r="I1032" s="123" t="s">
        <v>58</v>
      </c>
      <c r="J1032" s="121" t="s">
        <v>479</v>
      </c>
      <c r="K1032" s="120">
        <v>1041589.05</v>
      </c>
      <c r="L1032" s="57"/>
    </row>
    <row r="1033" spans="1:12">
      <c r="A1033" s="234"/>
      <c r="B1033" s="234"/>
      <c r="C1033" s="234"/>
      <c r="D1033" s="237"/>
      <c r="E1033" s="237"/>
      <c r="F1033" s="240"/>
      <c r="G1033" s="109" t="str">
        <f ca="1">IFERROR(__xludf.DUMMYFUNCTION("IF(I1046="""","""",FILTER(DATOS!$D$4:$D$237,DATOS!$B$4:$B$237=I1046))"),"01-023")</f>
        <v>01-023</v>
      </c>
      <c r="H1033" s="109" t="str">
        <f ca="1">IFERROR(__xludf.DUMMYFUNCTION("IF(I1046="""","""",FILTER(DATOS!$C$4:$C$237,DATOS!$B$4:$B$237=I1046))"),"USAQUEN")</f>
        <v>USAQUEN</v>
      </c>
      <c r="I1033" s="123" t="s">
        <v>58</v>
      </c>
      <c r="J1033" s="121" t="s">
        <v>479</v>
      </c>
      <c r="K1033" s="120">
        <v>999223.78</v>
      </c>
      <c r="L1033" s="57"/>
    </row>
    <row r="1034" spans="1:12">
      <c r="A1034" s="234"/>
      <c r="B1034" s="234"/>
      <c r="C1034" s="234"/>
      <c r="D1034" s="237"/>
      <c r="E1034" s="237"/>
      <c r="F1034" s="240"/>
      <c r="G1034" s="109" t="str">
        <f ca="1">IFERROR(__xludf.DUMMYFUNCTION("IF(I1047="""","""",FILTER(DATOS!$D$4:$D$237,DATOS!$B$4:$B$237=I1047))"),"02-007")</f>
        <v>02-007</v>
      </c>
      <c r="H1034" s="109" t="str">
        <f ca="1">IFERROR(__xludf.DUMMYFUNCTION("IF(I1047="""","""",FILTER(DATOS!$C$4:$C$237,DATOS!$B$4:$B$237=I1047))"),"CHAPINERO")</f>
        <v>CHAPINERO</v>
      </c>
      <c r="I1034" s="123" t="s">
        <v>325</v>
      </c>
      <c r="J1034" s="121" t="s">
        <v>479</v>
      </c>
      <c r="K1034" s="120">
        <v>1000704.4199999999</v>
      </c>
      <c r="L1034" s="57"/>
    </row>
    <row r="1035" spans="1:12">
      <c r="A1035" s="234"/>
      <c r="B1035" s="234"/>
      <c r="C1035" s="234"/>
      <c r="D1035" s="237"/>
      <c r="E1035" s="237"/>
      <c r="F1035" s="240"/>
      <c r="G1035" s="109" t="str">
        <f ca="1">IFERROR(__xludf.DUMMYFUNCTION("IF(I1048="""","""",FILTER(DATOS!$D$4:$D$237,DATOS!$B$4:$B$237=I1048))"),"11-036")</f>
        <v>11-036</v>
      </c>
      <c r="H1035" s="109" t="str">
        <f ca="1">IFERROR(__xludf.DUMMYFUNCTION("IF(I1048="""","""",FILTER(DATOS!$C$4:$C$237,DATOS!$B$4:$B$237=I1048))"),"SUBA")</f>
        <v>SUBA</v>
      </c>
      <c r="I1035" s="123" t="s">
        <v>367</v>
      </c>
      <c r="J1035" s="121" t="s">
        <v>479</v>
      </c>
      <c r="K1035" s="120">
        <v>1014117.99</v>
      </c>
      <c r="L1035" s="57"/>
    </row>
    <row r="1036" spans="1:12" ht="15" customHeight="1">
      <c r="A1036" s="234"/>
      <c r="B1036" s="234"/>
      <c r="C1036" s="234"/>
      <c r="D1036" s="237"/>
      <c r="E1036" s="237"/>
      <c r="F1036" s="240"/>
      <c r="G1036" s="109" t="str">
        <f ca="1">IFERROR(__xludf.DUMMYFUNCTION("IF(I1049="""","""",FILTER(DATOS!$D$4:$D$237,DATOS!$B$4:$B$237=I1049))"),"11-109")</f>
        <v>11-109</v>
      </c>
      <c r="H1036" s="109" t="str">
        <f ca="1">IFERROR(__xludf.DUMMYFUNCTION("IF(I1049="""","""",FILTER(DATOS!$C$4:$C$237,DATOS!$B$4:$B$237=I1049))"),"SUBA")</f>
        <v>SUBA</v>
      </c>
      <c r="I1036" s="123" t="s">
        <v>362</v>
      </c>
      <c r="J1036" s="121" t="s">
        <v>480</v>
      </c>
      <c r="K1036" s="120">
        <v>1301605.69</v>
      </c>
      <c r="L1036" s="57"/>
    </row>
    <row r="1037" spans="1:12">
      <c r="A1037" s="234"/>
      <c r="B1037" s="234"/>
      <c r="C1037" s="234"/>
      <c r="D1037" s="237"/>
      <c r="E1037" s="237"/>
      <c r="F1037" s="240"/>
      <c r="G1037" s="109" t="str">
        <f ca="1">IFERROR(__xludf.DUMMYFUNCTION("IF(I1050="""","""",FILTER(DATOS!$D$4:$D$237,DATOS!$B$4:$B$237=I1050))"),"11-161")</f>
        <v>11-161</v>
      </c>
      <c r="H1037" s="109" t="str">
        <f ca="1">IFERROR(__xludf.DUMMYFUNCTION("IF(I1050="""","""",FILTER(DATOS!$C$4:$C$237,DATOS!$B$4:$B$237=I1050))"),"SUBA")</f>
        <v>SUBA</v>
      </c>
      <c r="I1037" s="123" t="s">
        <v>370</v>
      </c>
      <c r="J1037" s="121" t="s">
        <v>479</v>
      </c>
      <c r="K1037" s="120">
        <v>1005148.3400000001</v>
      </c>
      <c r="L1037" s="57"/>
    </row>
    <row r="1038" spans="1:12">
      <c r="A1038" s="234"/>
      <c r="B1038" s="234"/>
      <c r="C1038" s="234"/>
      <c r="D1038" s="237"/>
      <c r="E1038" s="237"/>
      <c r="F1038" s="240"/>
      <c r="G1038" s="109" t="str">
        <f ca="1">IFERROR(__xludf.DUMMYFUNCTION("IF(I1051="""","""",FILTER(DATOS!$D$4:$D$237,DATOS!$B$4:$B$237=I1051))"),"11-668")</f>
        <v>11-668</v>
      </c>
      <c r="H1038" s="109" t="str">
        <f ca="1">IFERROR(__xludf.DUMMYFUNCTION("IF(I1051="""","""",FILTER(DATOS!$C$4:$C$237,DATOS!$B$4:$B$237=I1051))"),"SUBA")</f>
        <v>SUBA</v>
      </c>
      <c r="I1038" s="123" t="s">
        <v>366</v>
      </c>
      <c r="J1038" s="121" t="s">
        <v>479</v>
      </c>
      <c r="K1038" s="120">
        <v>1000704.4199999999</v>
      </c>
      <c r="L1038" s="57"/>
    </row>
    <row r="1039" spans="1:12" ht="36">
      <c r="A1039" s="234"/>
      <c r="B1039" s="234"/>
      <c r="C1039" s="234"/>
      <c r="D1039" s="237"/>
      <c r="E1039" s="237"/>
      <c r="F1039" s="240"/>
      <c r="G1039" s="109" t="str">
        <f ca="1">IFERROR(__xludf.DUMMYFUNCTION("IF(I1052="""","""",FILTER(DATOS!$D$4:$D$237,DATOS!$B$4:$B$237=I1052))"),"01-313")</f>
        <v>01-313</v>
      </c>
      <c r="H1039" s="109" t="str">
        <f ca="1">IFERROR(__xludf.DUMMYFUNCTION("IF(I1052="""","""",FILTER(DATOS!$C$4:$C$237,DATOS!$B$4:$B$237=I1052))"),"USAQUEN")</f>
        <v>USAQUEN</v>
      </c>
      <c r="I1039" s="123" t="s">
        <v>481</v>
      </c>
      <c r="J1039" s="121" t="s">
        <v>482</v>
      </c>
      <c r="K1039" s="120">
        <v>25202515.219999999</v>
      </c>
      <c r="L1039" s="57"/>
    </row>
    <row r="1040" spans="1:12" ht="24">
      <c r="A1040" s="234"/>
      <c r="B1040" s="234"/>
      <c r="C1040" s="234"/>
      <c r="D1040" s="237"/>
      <c r="E1040" s="237"/>
      <c r="F1040" s="240"/>
      <c r="G1040" s="109" t="str">
        <f ca="1">IFERROR(__xludf.DUMMYFUNCTION("IF(I1053="""","""",FILTER(DATOS!$D$4:$D$237,DATOS!$B$4:$B$237=I1053))"),"10-290")</f>
        <v>10-290</v>
      </c>
      <c r="H1040" s="109" t="str">
        <f ca="1">IFERROR(__xludf.DUMMYFUNCTION("IF(I1053="""","""",FILTER(DATOS!$C$4:$C$237,DATOS!$B$4:$B$237=I1053))"),"ENGATIVA")</f>
        <v>ENGATIVA</v>
      </c>
      <c r="I1040" s="123" t="s">
        <v>62</v>
      </c>
      <c r="J1040" s="121" t="s">
        <v>480</v>
      </c>
      <c r="K1040" s="120">
        <v>1969055.28</v>
      </c>
      <c r="L1040" s="57"/>
    </row>
    <row r="1041" spans="1:12">
      <c r="A1041" s="234"/>
      <c r="B1041" s="234"/>
      <c r="C1041" s="234"/>
      <c r="D1041" s="237"/>
      <c r="E1041" s="237"/>
      <c r="F1041" s="240"/>
      <c r="G1041" s="109" t="str">
        <f ca="1">IFERROR(__xludf.DUMMYFUNCTION("IF(I1054="""","""",FILTER(DATOS!$D$4:$D$237,DATOS!$B$4:$B$237=I1054))"),"14-030")</f>
        <v>14-030</v>
      </c>
      <c r="H1041" s="109" t="str">
        <f ca="1">IFERROR(__xludf.DUMMYFUNCTION("IF(I1054="""","""",FILTER(DATOS!$C$4:$C$237,DATOS!$B$4:$B$237=I1054))"),"MARTIRES")</f>
        <v>MARTIRES</v>
      </c>
      <c r="I1041" s="123" t="s">
        <v>82</v>
      </c>
      <c r="J1041" s="121" t="s">
        <v>479</v>
      </c>
      <c r="K1041" s="120">
        <v>1005741.18</v>
      </c>
      <c r="L1041" s="57"/>
    </row>
    <row r="1042" spans="1:12">
      <c r="A1042" s="234"/>
      <c r="B1042" s="234"/>
      <c r="C1042" s="234"/>
      <c r="D1042" s="237"/>
      <c r="E1042" s="237"/>
      <c r="F1042" s="240"/>
      <c r="G1042" s="109" t="str">
        <f ca="1">IFERROR(__xludf.DUMMYFUNCTION("IF(I1055="""","""",FILTER(DATOS!$D$4:$D$237,DATOS!$B$4:$B$237=I1055))"),"18-009")</f>
        <v>18-009</v>
      </c>
      <c r="H1042" s="109" t="str">
        <f ca="1">IFERROR(__xludf.DUMMYFUNCTION("IF(I1055="""","""",FILTER(DATOS!$C$4:$C$237,DATOS!$B$4:$B$237=I1055))"),"RAFAEL URIBE")</f>
        <v>RAFAEL URIBE</v>
      </c>
      <c r="I1042" s="123" t="s">
        <v>354</v>
      </c>
      <c r="J1042" s="121" t="s">
        <v>479</v>
      </c>
      <c r="K1042" s="120">
        <v>1000704.84</v>
      </c>
      <c r="L1042" s="57"/>
    </row>
    <row r="1043" spans="1:12">
      <c r="A1043" s="234"/>
      <c r="B1043" s="234"/>
      <c r="C1043" s="234"/>
      <c r="D1043" s="237"/>
      <c r="E1043" s="237"/>
      <c r="F1043" s="240"/>
      <c r="G1043" s="109" t="str">
        <f ca="1">IFERROR(__xludf.DUMMYFUNCTION("IF(I1056="""","""",FILTER(DATOS!$D$4:$D$237,DATOS!$B$4:$B$237=I1056))"),"06-006")</f>
        <v>06-006</v>
      </c>
      <c r="H1043" s="109" t="str">
        <f ca="1">IFERROR(__xludf.DUMMYFUNCTION("IF(I1056="""","""",FILTER(DATOS!$C$4:$C$237,DATOS!$B$4:$B$237=I1056))"),"TUNJUELITO")</f>
        <v>TUNJUELITO</v>
      </c>
      <c r="I1043" s="123" t="s">
        <v>373</v>
      </c>
      <c r="J1043" s="121" t="s">
        <v>479</v>
      </c>
      <c r="K1043" s="120">
        <v>1001593.6</v>
      </c>
      <c r="L1043" s="57"/>
    </row>
    <row r="1044" spans="1:12">
      <c r="A1044" s="234"/>
      <c r="B1044" s="234"/>
      <c r="C1044" s="234"/>
      <c r="D1044" s="237"/>
      <c r="E1044" s="237"/>
      <c r="F1044" s="240"/>
      <c r="G1044" s="109" t="str">
        <f ca="1">IFERROR(__xludf.DUMMYFUNCTION("IF(I1057="""","""",FILTER(DATOS!$D$4:$D$237,DATOS!$B$4:$B$237=I1057))"),"06-006")</f>
        <v>06-006</v>
      </c>
      <c r="H1044" s="109" t="str">
        <f ca="1">IFERROR(__xludf.DUMMYFUNCTION("IF(I1057="""","""",FILTER(DATOS!$C$4:$C$237,DATOS!$B$4:$B$237=I1057))"),"TUNJUELITO")</f>
        <v>TUNJUELITO</v>
      </c>
      <c r="I1044" s="123" t="s">
        <v>373</v>
      </c>
      <c r="J1044" s="121" t="s">
        <v>479</v>
      </c>
      <c r="K1044" s="120">
        <v>1001593.6</v>
      </c>
      <c r="L1044" s="57"/>
    </row>
    <row r="1045" spans="1:12">
      <c r="A1045" s="234"/>
      <c r="B1045" s="234"/>
      <c r="C1045" s="234"/>
      <c r="D1045" s="237"/>
      <c r="E1045" s="237"/>
      <c r="F1045" s="240"/>
      <c r="G1045" s="109" t="str">
        <f ca="1">IFERROR(__xludf.DUMMYFUNCTION("IF(I1058="""","""",FILTER(DATOS!$D$4:$D$237,DATOS!$B$4:$B$237=I1058))"),"06-005")</f>
        <v>06-005</v>
      </c>
      <c r="H1045" s="109" t="str">
        <f ca="1">IFERROR(__xludf.DUMMYFUNCTION("IF(I1058="""","""",FILTER(DATOS!$C$4:$C$237,DATOS!$B$4:$B$237=I1058))"),"TUNJUELITO")</f>
        <v>TUNJUELITO</v>
      </c>
      <c r="I1045" s="123" t="s">
        <v>372</v>
      </c>
      <c r="J1045" s="121" t="s">
        <v>479</v>
      </c>
      <c r="K1045" s="120">
        <v>1011962.54</v>
      </c>
      <c r="L1045" s="57"/>
    </row>
    <row r="1046" spans="1:12">
      <c r="A1046" s="234"/>
      <c r="B1046" s="234"/>
      <c r="C1046" s="234"/>
      <c r="D1046" s="237"/>
      <c r="E1046" s="237"/>
      <c r="F1046" s="240"/>
      <c r="G1046" s="109" t="str">
        <f ca="1">IFERROR(__xludf.DUMMYFUNCTION("IF(I1059="""","""",FILTER(DATOS!$D$4:$D$237,DATOS!$B$4:$B$237=I1059))"),"18-429")</f>
        <v>18-429</v>
      </c>
      <c r="H1046" s="109" t="str">
        <f ca="1">IFERROR(__xludf.DUMMYFUNCTION("IF(I1059="""","""",FILTER(DATOS!$C$4:$C$237,DATOS!$B$4:$B$237=I1059))"),"RAFAEL URIBE")</f>
        <v>RAFAEL URIBE</v>
      </c>
      <c r="I1046" s="123" t="s">
        <v>353</v>
      </c>
      <c r="J1046" s="121" t="s">
        <v>479</v>
      </c>
      <c r="K1046" s="120">
        <v>998038.54</v>
      </c>
      <c r="L1046" s="57"/>
    </row>
    <row r="1047" spans="1:12">
      <c r="A1047" s="234"/>
      <c r="B1047" s="234"/>
      <c r="C1047" s="234"/>
      <c r="D1047" s="237"/>
      <c r="E1047" s="237"/>
      <c r="F1047" s="240"/>
      <c r="G1047" s="109" t="str">
        <f ca="1">IFERROR(__xludf.DUMMYFUNCTION("IF(I1060="""","""",FILTER(DATOS!$D$4:$D$237,DATOS!$B$4:$B$237=I1060))"),"03-035")</f>
        <v>03-035</v>
      </c>
      <c r="H1047" s="109" t="str">
        <f ca="1">IFERROR(__xludf.DUMMYFUNCTION("IF(I1060="""","""",FILTER(DATOS!$C$4:$C$237,DATOS!$B$4:$B$237=I1060))"),"SANTAFE")</f>
        <v>SANTAFE</v>
      </c>
      <c r="I1047" s="123" t="s">
        <v>46</v>
      </c>
      <c r="J1047" s="121" t="s">
        <v>479</v>
      </c>
      <c r="K1047" s="120">
        <v>1036433.26</v>
      </c>
      <c r="L1047" s="57"/>
    </row>
    <row r="1048" spans="1:12">
      <c r="A1048" s="234"/>
      <c r="B1048" s="234"/>
      <c r="C1048" s="234"/>
      <c r="D1048" s="237"/>
      <c r="E1048" s="237"/>
      <c r="F1048" s="240"/>
      <c r="G1048" s="109" t="str">
        <f ca="1">IFERROR(__xludf.DUMMYFUNCTION("IF(I1061="""","""",FILTER(DATOS!$D$4:$D$237,DATOS!$B$4:$B$237=I1061))"),"10-234")</f>
        <v>10-234</v>
      </c>
      <c r="H1048" s="109" t="str">
        <f ca="1">IFERROR(__xludf.DUMMYFUNCTION("IF(I1061="""","""",FILTER(DATOS!$C$4:$C$237,DATOS!$B$4:$B$237=I1061))"),"ENGATIVA")</f>
        <v>ENGATIVA</v>
      </c>
      <c r="I1048" s="123" t="s">
        <v>56</v>
      </c>
      <c r="J1048" s="121" t="s">
        <v>479</v>
      </c>
      <c r="K1048" s="120">
        <v>504841</v>
      </c>
      <c r="L1048" s="57"/>
    </row>
    <row r="1049" spans="1:12">
      <c r="A1049" s="234"/>
      <c r="B1049" s="234"/>
      <c r="C1049" s="234"/>
      <c r="D1049" s="237"/>
      <c r="E1049" s="237"/>
      <c r="F1049" s="240"/>
      <c r="G1049" s="109" t="str">
        <f ca="1">IFERROR(__xludf.DUMMYFUNCTION("IF(I1062="""","""",FILTER(DATOS!$D$4:$D$237,DATOS!$B$4:$B$237=I1062))"),"10-234")</f>
        <v>10-234</v>
      </c>
      <c r="H1049" s="109" t="str">
        <f ca="1">IFERROR(__xludf.DUMMYFUNCTION("IF(I1062="""","""",FILTER(DATOS!$C$4:$C$237,DATOS!$B$4:$B$237=I1062))"),"ENGATIVA")</f>
        <v>ENGATIVA</v>
      </c>
      <c r="I1049" s="123" t="s">
        <v>56</v>
      </c>
      <c r="J1049" s="121" t="s">
        <v>479</v>
      </c>
      <c r="K1049" s="120">
        <v>518276</v>
      </c>
      <c r="L1049" s="57"/>
    </row>
    <row r="1050" spans="1:12">
      <c r="A1050" s="234"/>
      <c r="B1050" s="234"/>
      <c r="C1050" s="234"/>
      <c r="D1050" s="237"/>
      <c r="E1050" s="237"/>
      <c r="F1050" s="240"/>
      <c r="G1050" s="109" t="str">
        <f ca="1">IFERROR(__xludf.DUMMYFUNCTION("IF(I1063="""","""",FILTER(DATOS!$D$4:$D$237,DATOS!$B$4:$B$237=I1063))"),"10-169")</f>
        <v>10-169</v>
      </c>
      <c r="H1050" s="109" t="str">
        <f ca="1">IFERROR(__xludf.DUMMYFUNCTION("IF(I1063="""","""",FILTER(DATOS!$C$4:$C$237,DATOS!$B$4:$B$237=I1063))"),"ENGATIVA")</f>
        <v>ENGATIVA</v>
      </c>
      <c r="I1050" s="123" t="s">
        <v>30</v>
      </c>
      <c r="J1050" s="121" t="s">
        <v>479</v>
      </c>
      <c r="K1050" s="120">
        <v>504382</v>
      </c>
      <c r="L1050" s="57"/>
    </row>
    <row r="1051" spans="1:12">
      <c r="A1051" s="234"/>
      <c r="B1051" s="234"/>
      <c r="C1051" s="234"/>
      <c r="D1051" s="237"/>
      <c r="E1051" s="237"/>
      <c r="F1051" s="240"/>
      <c r="G1051" s="109" t="str">
        <f ca="1">IFERROR(__xludf.DUMMYFUNCTION("IF(I1064="""","""",FILTER(DATOS!$D$4:$D$237,DATOS!$B$4:$B$237=I1064))"),"10-169")</f>
        <v>10-169</v>
      </c>
      <c r="H1051" s="109" t="str">
        <f ca="1">IFERROR(__xludf.DUMMYFUNCTION("IF(I1064="""","""",FILTER(DATOS!$C$4:$C$237,DATOS!$B$4:$B$237=I1064))"),"ENGATIVA")</f>
        <v>ENGATIVA</v>
      </c>
      <c r="I1051" s="123" t="s">
        <v>30</v>
      </c>
      <c r="J1051" s="121" t="s">
        <v>479</v>
      </c>
      <c r="K1051" s="120">
        <v>521831</v>
      </c>
      <c r="L1051" s="57"/>
    </row>
    <row r="1052" spans="1:12">
      <c r="A1052" s="234"/>
      <c r="B1052" s="234"/>
      <c r="C1052" s="234"/>
      <c r="D1052" s="237"/>
      <c r="E1052" s="237"/>
      <c r="F1052" s="240"/>
      <c r="G1052" s="109" t="str">
        <f ca="1">IFERROR(__xludf.DUMMYFUNCTION("IF(I1065="""","""",FILTER(DATOS!$D$4:$D$237,DATOS!$B$4:$B$237=I1065))"),"10-018")</f>
        <v>10-018</v>
      </c>
      <c r="H1052" s="109" t="str">
        <f ca="1">IFERROR(__xludf.DUMMYFUNCTION("IF(I1065="""","""",FILTER(DATOS!$C$4:$C$237,DATOS!$B$4:$B$237=I1065))"),"ENGATIVA")</f>
        <v>ENGATIVA</v>
      </c>
      <c r="I1052" s="123" t="s">
        <v>64</v>
      </c>
      <c r="J1052" s="121" t="s">
        <v>479</v>
      </c>
      <c r="K1052" s="120">
        <v>504796</v>
      </c>
      <c r="L1052" s="57"/>
    </row>
    <row r="1053" spans="1:12">
      <c r="A1053" s="234"/>
      <c r="B1053" s="234"/>
      <c r="C1053" s="234"/>
      <c r="D1053" s="237"/>
      <c r="E1053" s="237"/>
      <c r="F1053" s="240"/>
      <c r="G1053" s="109" t="str">
        <f ca="1">IFERROR(__xludf.DUMMYFUNCTION("IF(I1066="""","""",FILTER(DATOS!$D$4:$D$237,DATOS!$B$4:$B$237=I1066))"),"10-018")</f>
        <v>10-018</v>
      </c>
      <c r="H1053" s="109" t="str">
        <f ca="1">IFERROR(__xludf.DUMMYFUNCTION("IF(I1066="""","""",FILTER(DATOS!$C$4:$C$237,DATOS!$B$4:$B$237=I1066))"),"ENGATIVA")</f>
        <v>ENGATIVA</v>
      </c>
      <c r="I1053" s="123" t="s">
        <v>64</v>
      </c>
      <c r="J1053" s="121" t="s">
        <v>479</v>
      </c>
      <c r="K1053" s="120">
        <v>515890</v>
      </c>
      <c r="L1053" s="57"/>
    </row>
    <row r="1054" spans="1:12">
      <c r="A1054" s="234"/>
      <c r="B1054" s="234"/>
      <c r="C1054" s="234"/>
      <c r="D1054" s="237"/>
      <c r="E1054" s="237"/>
      <c r="F1054" s="240"/>
      <c r="G1054" s="109" t="str">
        <f ca="1">IFERROR(__xludf.DUMMYFUNCTION("IF(I1067="""","""",FILTER(DATOS!$D$4:$D$237,DATOS!$B$4:$B$237=I1067))"),"10-002")</f>
        <v>10-002</v>
      </c>
      <c r="H1054" s="109" t="str">
        <f ca="1">IFERROR(__xludf.DUMMYFUNCTION("IF(I1067="""","""",FILTER(DATOS!$C$4:$C$237,DATOS!$B$4:$B$237=I1067))"),"ENGATIVA")</f>
        <v>ENGATIVA</v>
      </c>
      <c r="I1054" s="123" t="s">
        <v>337</v>
      </c>
      <c r="J1054" s="121" t="s">
        <v>479</v>
      </c>
      <c r="K1054" s="120">
        <v>503315</v>
      </c>
      <c r="L1054" s="57"/>
    </row>
    <row r="1055" spans="1:12">
      <c r="A1055" s="234"/>
      <c r="B1055" s="234"/>
      <c r="C1055" s="234"/>
      <c r="D1055" s="237"/>
      <c r="E1055" s="237"/>
      <c r="F1055" s="240"/>
      <c r="G1055" s="109" t="str">
        <f ca="1">IFERROR(__xludf.DUMMYFUNCTION("IF(I1068="""","""",FILTER(DATOS!$D$4:$D$237,DATOS!$B$4:$B$237=I1068))"),"10-249")</f>
        <v>10-249</v>
      </c>
      <c r="H1055" s="109" t="str">
        <f ca="1">IFERROR(__xludf.DUMMYFUNCTION("IF(I1068="""","""",FILTER(DATOS!$C$4:$C$237,DATOS!$B$4:$B$237=I1068))"),"ENGATIVA")</f>
        <v>ENGATIVA</v>
      </c>
      <c r="I1055" s="123" t="s">
        <v>333</v>
      </c>
      <c r="J1055" s="121" t="s">
        <v>479</v>
      </c>
      <c r="K1055" s="120">
        <v>181419</v>
      </c>
      <c r="L1055" s="57"/>
    </row>
    <row r="1056" spans="1:12">
      <c r="A1056" s="234"/>
      <c r="B1056" s="234"/>
      <c r="C1056" s="234"/>
      <c r="D1056" s="237"/>
      <c r="E1056" s="237"/>
      <c r="F1056" s="240"/>
      <c r="G1056" s="109" t="str">
        <f ca="1">IFERROR(__xludf.DUMMYFUNCTION("IF(I1069="""","""",FILTER(DATOS!$D$4:$D$237,DATOS!$B$4:$B$237=I1069))"),"10-028")</f>
        <v>10-028</v>
      </c>
      <c r="H1056" s="109" t="str">
        <f ca="1">IFERROR(__xludf.DUMMYFUNCTION("IF(I1069="""","""",FILTER(DATOS!$C$4:$C$237,DATOS!$B$4:$B$237=I1069))"),"ENGATIVA")</f>
        <v>ENGATIVA</v>
      </c>
      <c r="I1056" s="123" t="s">
        <v>334</v>
      </c>
      <c r="J1056" s="121" t="s">
        <v>479</v>
      </c>
      <c r="K1056" s="120">
        <v>506425</v>
      </c>
      <c r="L1056" s="57"/>
    </row>
    <row r="1057" spans="1:12" ht="15" customHeight="1">
      <c r="A1057" s="234"/>
      <c r="B1057" s="234"/>
      <c r="C1057" s="234"/>
      <c r="D1057" s="237"/>
      <c r="E1057" s="237"/>
      <c r="F1057" s="240"/>
      <c r="G1057" s="109" t="str">
        <f ca="1">IFERROR(__xludf.DUMMYFUNCTION("IF(I1070="""","""",FILTER(DATOS!$D$4:$D$237,DATOS!$B$4:$B$237=I1070))"),"07-152")</f>
        <v>07-152</v>
      </c>
      <c r="H1057" s="109" t="str">
        <f ca="1">IFERROR(__xludf.DUMMYFUNCTION("IF(I1070="""","""",FILTER(DATOS!$C$4:$C$237,DATOS!$B$4:$B$237=I1070))"),"BOSA")</f>
        <v>BOSA</v>
      </c>
      <c r="I1057" s="123" t="s">
        <v>92</v>
      </c>
      <c r="J1057" s="121" t="s">
        <v>480</v>
      </c>
      <c r="K1057" s="120">
        <v>952417</v>
      </c>
      <c r="L1057" s="57"/>
    </row>
    <row r="1058" spans="1:12">
      <c r="A1058" s="234"/>
      <c r="B1058" s="234"/>
      <c r="C1058" s="234"/>
      <c r="D1058" s="237"/>
      <c r="E1058" s="237"/>
      <c r="F1058" s="240"/>
      <c r="G1058" s="109" t="str">
        <f ca="1">IFERROR(__xludf.DUMMYFUNCTION("IF(I1071="""","""",FILTER(DATOS!$D$4:$D$237,DATOS!$B$4:$B$237=I1071))"),"16-204")</f>
        <v>16-204</v>
      </c>
      <c r="H1058" s="109" t="str">
        <f ca="1">IFERROR(__xludf.DUMMYFUNCTION("IF(I1071="""","""",FILTER(DATOS!$C$4:$C$237,DATOS!$B$4:$B$237=I1071))"),"PUENTE ARANDA")</f>
        <v>PUENTE ARANDA</v>
      </c>
      <c r="I1058" s="123" t="s">
        <v>83</v>
      </c>
      <c r="J1058" s="121" t="s">
        <v>479</v>
      </c>
      <c r="K1058" s="120">
        <v>516942</v>
      </c>
      <c r="L1058" s="57"/>
    </row>
    <row r="1059" spans="1:12">
      <c r="A1059" s="234"/>
      <c r="B1059" s="234"/>
      <c r="C1059" s="234"/>
      <c r="D1059" s="237"/>
      <c r="E1059" s="237"/>
      <c r="F1059" s="240"/>
      <c r="G1059" s="109" t="str">
        <f ca="1">IFERROR(__xludf.DUMMYFUNCTION("IF(I1072="""","""",FILTER(DATOS!$D$4:$D$237,DATOS!$B$4:$B$237=I1072))"),"14-008")</f>
        <v>14-008</v>
      </c>
      <c r="H1059" s="109" t="str">
        <f ca="1">IFERROR(__xludf.DUMMYFUNCTION("IF(I1072="""","""",FILTER(DATOS!$C$4:$C$237,DATOS!$B$4:$B$237=I1072))"),"MARTIRES")</f>
        <v>MARTIRES</v>
      </c>
      <c r="I1059" s="123" t="s">
        <v>348</v>
      </c>
      <c r="J1059" s="121" t="s">
        <v>479</v>
      </c>
      <c r="K1059" s="120">
        <v>500407</v>
      </c>
      <c r="L1059" s="57"/>
    </row>
    <row r="1060" spans="1:12">
      <c r="A1060" s="234"/>
      <c r="B1060" s="234"/>
      <c r="C1060" s="234"/>
      <c r="D1060" s="237"/>
      <c r="E1060" s="237"/>
      <c r="F1060" s="240"/>
      <c r="G1060" s="109" t="str">
        <f ca="1">IFERROR(__xludf.DUMMYFUNCTION("IF(I1073="""","""",FILTER(DATOS!$D$4:$D$237,DATOS!$B$4:$B$237=I1073))"),"16-112")</f>
        <v>16-112</v>
      </c>
      <c r="H1060" s="109" t="str">
        <f ca="1">IFERROR(__xludf.DUMMYFUNCTION("IF(I1073="""","""",FILTER(DATOS!$C$4:$C$237,DATOS!$B$4:$B$237=I1073))"),"PUENTE ARANDA")</f>
        <v>PUENTE ARANDA</v>
      </c>
      <c r="I1060" s="123" t="s">
        <v>79</v>
      </c>
      <c r="J1060" s="121" t="s">
        <v>479</v>
      </c>
      <c r="K1060" s="120">
        <v>498131</v>
      </c>
      <c r="L1060" s="57"/>
    </row>
    <row r="1061" spans="1:12">
      <c r="A1061" s="234"/>
      <c r="B1061" s="234"/>
      <c r="C1061" s="234"/>
      <c r="D1061" s="237"/>
      <c r="E1061" s="237"/>
      <c r="F1061" s="240"/>
      <c r="G1061" s="109" t="str">
        <f ca="1">IFERROR(__xludf.DUMMYFUNCTION("IF(I1074="""","""",FILTER(DATOS!$D$4:$D$237,DATOS!$B$4:$B$237=I1074))"),"16-112")</f>
        <v>16-112</v>
      </c>
      <c r="H1061" s="109" t="str">
        <f ca="1">IFERROR(__xludf.DUMMYFUNCTION("IF(I1074="""","""",FILTER(DATOS!$C$4:$C$237,DATOS!$B$4:$B$237=I1074))"),"PUENTE ARANDA")</f>
        <v>PUENTE ARANDA</v>
      </c>
      <c r="I1061" s="123" t="s">
        <v>79</v>
      </c>
      <c r="J1061" s="121" t="s">
        <v>479</v>
      </c>
      <c r="K1061" s="120">
        <v>498131</v>
      </c>
      <c r="L1061" s="57"/>
    </row>
    <row r="1062" spans="1:12">
      <c r="A1062" s="234"/>
      <c r="B1062" s="234"/>
      <c r="C1062" s="234"/>
      <c r="D1062" s="237"/>
      <c r="E1062" s="237"/>
      <c r="F1062" s="240"/>
      <c r="G1062" s="109" t="str">
        <f ca="1">IFERROR(__xludf.DUMMYFUNCTION("IF(I1075="""","""",FILTER(DATOS!$D$4:$D$237,DATOS!$B$4:$B$237=I1075))"),"19-190")</f>
        <v>19-190</v>
      </c>
      <c r="H1062" s="109" t="str">
        <f ca="1">IFERROR(__xludf.DUMMYFUNCTION("IF(I1075="""","""",FILTER(DATOS!$C$4:$C$237,DATOS!$B$4:$B$237=I1075))"),"CIUDAD BOLIVAR")</f>
        <v>CIUDAD BOLIVAR</v>
      </c>
      <c r="I1062" s="123" t="s">
        <v>127</v>
      </c>
      <c r="J1062" s="121" t="s">
        <v>479</v>
      </c>
      <c r="K1062" s="120">
        <v>500352</v>
      </c>
      <c r="L1062" s="57"/>
    </row>
    <row r="1063" spans="1:12">
      <c r="A1063" s="234"/>
      <c r="B1063" s="234"/>
      <c r="C1063" s="234"/>
      <c r="D1063" s="237"/>
      <c r="E1063" s="237"/>
      <c r="F1063" s="240"/>
      <c r="G1063" s="109" t="str">
        <f ca="1">IFERROR(__xludf.DUMMYFUNCTION("IF(I1076="""","""",FILTER(DATOS!$D$4:$D$237,DATOS!$B$4:$B$237=I1076))"),"19-190")</f>
        <v>19-190</v>
      </c>
      <c r="H1063" s="109" t="str">
        <f ca="1">IFERROR(__xludf.DUMMYFUNCTION("IF(I1076="""","""",FILTER(DATOS!$C$4:$C$237,DATOS!$B$4:$B$237=I1076))"),"CIUDAD BOLIVAR")</f>
        <v>CIUDAD BOLIVAR</v>
      </c>
      <c r="I1063" s="123" t="s">
        <v>127</v>
      </c>
      <c r="J1063" s="121" t="s">
        <v>479</v>
      </c>
      <c r="K1063" s="120">
        <v>500352</v>
      </c>
      <c r="L1063" s="57"/>
    </row>
    <row r="1064" spans="1:12">
      <c r="A1064" s="234"/>
      <c r="B1064" s="234"/>
      <c r="C1064" s="234"/>
      <c r="D1064" s="237"/>
      <c r="E1064" s="237"/>
      <c r="F1064" s="240"/>
      <c r="G1064" s="109" t="str">
        <f ca="1">IFERROR(__xludf.DUMMYFUNCTION("IF(I1077="""","""",FILTER(DATOS!$D$4:$D$237,DATOS!$B$4:$B$237=I1077))"),"11-069")</f>
        <v>11-069</v>
      </c>
      <c r="H1064" s="109" t="str">
        <f ca="1">IFERROR(__xludf.DUMMYFUNCTION("IF(I1077="""","""",FILTER(DATOS!$C$4:$C$237,DATOS!$B$4:$B$237=I1077))"),"SUBA")</f>
        <v>SUBA</v>
      </c>
      <c r="I1064" s="123" t="s">
        <v>26</v>
      </c>
      <c r="J1064" s="121" t="s">
        <v>479</v>
      </c>
      <c r="K1064" s="120">
        <v>506425</v>
      </c>
      <c r="L1064" s="57"/>
    </row>
    <row r="1065" spans="1:12">
      <c r="A1065" s="234"/>
      <c r="B1065" s="234"/>
      <c r="C1065" s="234"/>
      <c r="D1065" s="237"/>
      <c r="E1065" s="237"/>
      <c r="F1065" s="240"/>
      <c r="G1065" s="109" t="str">
        <f ca="1">IFERROR(__xludf.DUMMYFUNCTION("IF(I1078="""","""",FILTER(DATOS!$D$4:$D$237,DATOS!$B$4:$B$237=I1078))"),"11-368")</f>
        <v>11-368</v>
      </c>
      <c r="H1065" s="109" t="str">
        <f ca="1">IFERROR(__xludf.DUMMYFUNCTION("IF(I1078="""","""",FILTER(DATOS!$C$4:$C$237,DATOS!$B$4:$B$237=I1078))"),"SUBA")</f>
        <v>SUBA</v>
      </c>
      <c r="I1065" s="123" t="s">
        <v>34</v>
      </c>
      <c r="J1065" s="121" t="s">
        <v>479</v>
      </c>
      <c r="K1065" s="120">
        <v>515313</v>
      </c>
      <c r="L1065" s="57"/>
    </row>
    <row r="1066" spans="1:12">
      <c r="A1066" s="234"/>
      <c r="B1066" s="234"/>
      <c r="C1066" s="234"/>
      <c r="D1066" s="237"/>
      <c r="E1066" s="237"/>
      <c r="F1066" s="240"/>
      <c r="G1066" s="109" t="str">
        <f ca="1">IFERROR(__xludf.DUMMYFUNCTION("IF(I1079="""","""",FILTER(DATOS!$D$4:$D$237,DATOS!$B$4:$B$237=I1079))"),"11-368")</f>
        <v>11-368</v>
      </c>
      <c r="H1066" s="109" t="str">
        <f ca="1">IFERROR(__xludf.DUMMYFUNCTION("IF(I1079="""","""",FILTER(DATOS!$C$4:$C$237,DATOS!$B$4:$B$237=I1079))"),"SUBA")</f>
        <v>SUBA</v>
      </c>
      <c r="I1066" s="123" t="s">
        <v>34</v>
      </c>
      <c r="J1066" s="121" t="s">
        <v>479</v>
      </c>
      <c r="K1066" s="120">
        <v>500352</v>
      </c>
      <c r="L1066" s="57"/>
    </row>
    <row r="1067" spans="1:12">
      <c r="A1067" s="234"/>
      <c r="B1067" s="234"/>
      <c r="C1067" s="234"/>
      <c r="D1067" s="237"/>
      <c r="E1067" s="237"/>
      <c r="F1067" s="240"/>
      <c r="G1067" s="109" t="str">
        <f ca="1">IFERROR(__xludf.DUMMYFUNCTION("IF(I1080="""","""",FILTER(DATOS!$D$4:$D$237,DATOS!$B$4:$B$237=I1080))"),"11-368")</f>
        <v>11-368</v>
      </c>
      <c r="H1067" s="109" t="str">
        <f ca="1">IFERROR(__xludf.DUMMYFUNCTION("IF(I1080="""","""",FILTER(DATOS!$C$4:$C$237,DATOS!$B$4:$B$237=I1080))"),"SUBA")</f>
        <v>SUBA</v>
      </c>
      <c r="I1067" s="123" t="s">
        <v>34</v>
      </c>
      <c r="J1067" s="121" t="s">
        <v>479</v>
      </c>
      <c r="K1067" s="120">
        <v>510218</v>
      </c>
      <c r="L1067" s="57"/>
    </row>
    <row r="1068" spans="1:12">
      <c r="A1068" s="234"/>
      <c r="B1068" s="234"/>
      <c r="C1068" s="234"/>
      <c r="D1068" s="237"/>
      <c r="E1068" s="237"/>
      <c r="F1068" s="240"/>
      <c r="G1068" s="109" t="str">
        <f ca="1">IFERROR(__xludf.DUMMYFUNCTION("IF(I1081="""","""",FILTER(DATOS!$D$4:$D$237,DATOS!$B$4:$B$237=I1081))"),"11-205")</f>
        <v>11-205</v>
      </c>
      <c r="H1068" s="109" t="str">
        <f ca="1">IFERROR(__xludf.DUMMYFUNCTION("IF(I1081="""","""",FILTER(DATOS!$C$4:$C$237,DATOS!$B$4:$B$237=I1081))"),"SUBA")</f>
        <v>SUBA</v>
      </c>
      <c r="I1068" s="123" t="s">
        <v>39</v>
      </c>
      <c r="J1068" s="121" t="s">
        <v>479</v>
      </c>
      <c r="K1068" s="120">
        <v>509833</v>
      </c>
      <c r="L1068" s="57"/>
    </row>
    <row r="1069" spans="1:12">
      <c r="A1069" s="234"/>
      <c r="B1069" s="234"/>
      <c r="C1069" s="234"/>
      <c r="D1069" s="237"/>
      <c r="E1069" s="237"/>
      <c r="F1069" s="240"/>
      <c r="G1069" s="109" t="str">
        <f ca="1">IFERROR(__xludf.DUMMYFUNCTION("IF(I1082="""","""",FILTER(DATOS!$D$4:$D$237,DATOS!$B$4:$B$237=I1082))"),"11-052")</f>
        <v>11-052</v>
      </c>
      <c r="H1069" s="109" t="str">
        <f ca="1">IFERROR(__xludf.DUMMYFUNCTION("IF(I1082="""","""",FILTER(DATOS!$C$4:$C$237,DATOS!$B$4:$B$237=I1082))"),"SUBA")</f>
        <v>SUBA</v>
      </c>
      <c r="I1069" s="123" t="s">
        <v>369</v>
      </c>
      <c r="J1069" s="121" t="s">
        <v>479</v>
      </c>
      <c r="K1069" s="120">
        <v>500352</v>
      </c>
      <c r="L1069" s="57"/>
    </row>
    <row r="1070" spans="1:12">
      <c r="A1070" s="234"/>
      <c r="B1070" s="234"/>
      <c r="C1070" s="234"/>
      <c r="D1070" s="237"/>
      <c r="E1070" s="237"/>
      <c r="F1070" s="240"/>
      <c r="G1070" s="109" t="str">
        <f ca="1">IFERROR(__xludf.DUMMYFUNCTION("IF(I1083="""","""",FILTER(DATOS!$D$4:$D$237,DATOS!$B$4:$B$237=I1083))"),"11-008")</f>
        <v>11-008</v>
      </c>
      <c r="H1070" s="109" t="str">
        <f ca="1">IFERROR(__xludf.DUMMYFUNCTION("IF(I1083="""","""",FILTER(DATOS!$C$4:$C$237,DATOS!$B$4:$B$237=I1083))"),"SUBA")</f>
        <v>SUBA</v>
      </c>
      <c r="I1070" s="123" t="s">
        <v>368</v>
      </c>
      <c r="J1070" s="121" t="s">
        <v>479</v>
      </c>
      <c r="K1070" s="120">
        <v>503611</v>
      </c>
      <c r="L1070" s="57"/>
    </row>
    <row r="1071" spans="1:12">
      <c r="A1071" s="234"/>
      <c r="B1071" s="234"/>
      <c r="C1071" s="234"/>
      <c r="D1071" s="237"/>
      <c r="E1071" s="237"/>
      <c r="F1071" s="240"/>
      <c r="G1071" s="109" t="str">
        <f ca="1">IFERROR(__xludf.DUMMYFUNCTION("IF(I1084="""","""",FILTER(DATOS!$D$4:$D$237,DATOS!$B$4:$B$237=I1084))"),"11-015")</f>
        <v>11-015</v>
      </c>
      <c r="H1071" s="109" t="str">
        <f ca="1">IFERROR(__xludf.DUMMYFUNCTION("IF(I1084="""","""",FILTER(DATOS!$C$4:$C$237,DATOS!$B$4:$B$237=I1084))"),"SUBA")</f>
        <v>SUBA</v>
      </c>
      <c r="I1071" s="123" t="s">
        <v>358</v>
      </c>
      <c r="J1071" s="121" t="s">
        <v>479</v>
      </c>
      <c r="K1071" s="120">
        <v>502426</v>
      </c>
      <c r="L1071" s="57"/>
    </row>
    <row r="1072" spans="1:12">
      <c r="A1072" s="234"/>
      <c r="B1072" s="234"/>
      <c r="C1072" s="234"/>
      <c r="D1072" s="237"/>
      <c r="E1072" s="237"/>
      <c r="F1072" s="240"/>
      <c r="G1072" s="109" t="str">
        <f ca="1">IFERROR(__xludf.DUMMYFUNCTION("IF(I1085="""","""",FILTER(DATOS!$D$4:$D$237,DATOS!$B$4:$B$237=I1085))"),"11-084")</f>
        <v>11-084</v>
      </c>
      <c r="H1072" s="109" t="str">
        <f ca="1">IFERROR(__xludf.DUMMYFUNCTION("IF(I1085="""","""",FILTER(DATOS!$C$4:$C$237,DATOS!$B$4:$B$237=I1085))"),"SUBA")</f>
        <v>SUBA</v>
      </c>
      <c r="I1072" s="123" t="s">
        <v>363</v>
      </c>
      <c r="J1072" s="121" t="s">
        <v>479</v>
      </c>
      <c r="K1072" s="120">
        <v>505389</v>
      </c>
      <c r="L1072" s="57"/>
    </row>
    <row r="1073" spans="1:12">
      <c r="A1073" s="234"/>
      <c r="B1073" s="234"/>
      <c r="C1073" s="234"/>
      <c r="D1073" s="237"/>
      <c r="E1073" s="237"/>
      <c r="F1073" s="240"/>
      <c r="G1073" s="109" t="str">
        <f ca="1">IFERROR(__xludf.DUMMYFUNCTION("IF(I1086="""","""",FILTER(DATOS!$D$4:$D$237,DATOS!$B$4:$B$237=I1086))"),"11-084")</f>
        <v>11-084</v>
      </c>
      <c r="H1073" s="109" t="str">
        <f ca="1">IFERROR(__xludf.DUMMYFUNCTION("IF(I1086="""","""",FILTER(DATOS!$C$4:$C$237,DATOS!$B$4:$B$237=I1086))"),"SUBA")</f>
        <v>SUBA</v>
      </c>
      <c r="I1073" s="123" t="s">
        <v>363</v>
      </c>
      <c r="J1073" s="121" t="s">
        <v>479</v>
      </c>
      <c r="K1073" s="120">
        <v>507759</v>
      </c>
      <c r="L1073" s="57"/>
    </row>
    <row r="1074" spans="1:12">
      <c r="A1074" s="234"/>
      <c r="B1074" s="234"/>
      <c r="C1074" s="234"/>
      <c r="D1074" s="237"/>
      <c r="E1074" s="237"/>
      <c r="F1074" s="240"/>
      <c r="G1074" s="122" t="str">
        <f ca="1">IFERROR(__xludf.DUMMYFUNCTION("IF(I1087="""","""",FILTER(DATOS!$D$4:$D$237,DATOS!$B$4:$B$237=I1087))"),"11-1101")</f>
        <v>11-1101</v>
      </c>
      <c r="H1074" s="122" t="str">
        <f ca="1">IFERROR(__xludf.DUMMYFUNCTION("IF(I1087="""","""",FILTER(DATOS!$C$4:$C$237,DATOS!$B$4:$B$237=I1087))"),"SUBA")</f>
        <v>SUBA</v>
      </c>
      <c r="I1074" s="123" t="s">
        <v>302</v>
      </c>
      <c r="J1074" s="121" t="s">
        <v>479</v>
      </c>
      <c r="K1074" s="120">
        <v>515165</v>
      </c>
      <c r="L1074" s="57"/>
    </row>
    <row r="1075" spans="1:12">
      <c r="A1075" s="234"/>
      <c r="B1075" s="234"/>
      <c r="C1075" s="234"/>
      <c r="D1075" s="237"/>
      <c r="E1075" s="237"/>
      <c r="F1075" s="240"/>
      <c r="G1075" s="109" t="str">
        <f ca="1">IFERROR(__xludf.DUMMYFUNCTION("IF(I1088="""","""",FILTER(DATOS!$D$4:$D$237,DATOS!$B$4:$B$237=I1088))"),"11-074")</f>
        <v>11-074</v>
      </c>
      <c r="H1075" s="109" t="str">
        <f ca="1">IFERROR(__xludf.DUMMYFUNCTION("IF(I1088="""","""",FILTER(DATOS!$C$4:$C$237,DATOS!$B$4:$B$237=I1088))"),"SUBA")</f>
        <v>SUBA</v>
      </c>
      <c r="I1075" s="123" t="s">
        <v>359</v>
      </c>
      <c r="J1075" s="121" t="s">
        <v>483</v>
      </c>
      <c r="K1075" s="120">
        <v>103279</v>
      </c>
      <c r="L1075" s="57"/>
    </row>
    <row r="1076" spans="1:12">
      <c r="A1076" s="234"/>
      <c r="B1076" s="234"/>
      <c r="C1076" s="234"/>
      <c r="D1076" s="237"/>
      <c r="E1076" s="237"/>
      <c r="F1076" s="240"/>
      <c r="G1076" s="109" t="str">
        <f ca="1">IFERROR(__xludf.DUMMYFUNCTION("IF(I1089="""","""",FILTER(DATOS!$D$4:$D$237,DATOS!$B$4:$B$237=I1089))"),"07-273")</f>
        <v>07-273</v>
      </c>
      <c r="H1076" s="109" t="str">
        <f ca="1">IFERROR(__xludf.DUMMYFUNCTION("IF(I1089="""","""",FILTER(DATOS!$C$4:$C$237,DATOS!$B$4:$B$237=I1089))"),"BOSA")</f>
        <v>BOSA</v>
      </c>
      <c r="I1076" s="123" t="s">
        <v>103</v>
      </c>
      <c r="J1076" s="121" t="s">
        <v>479</v>
      </c>
      <c r="K1076" s="120">
        <v>504501</v>
      </c>
      <c r="L1076" s="57"/>
    </row>
    <row r="1077" spans="1:12">
      <c r="A1077" s="234"/>
      <c r="B1077" s="234"/>
      <c r="C1077" s="234"/>
      <c r="D1077" s="237"/>
      <c r="E1077" s="237"/>
      <c r="F1077" s="240"/>
      <c r="G1077" s="109" t="str">
        <f ca="1">IFERROR(__xludf.DUMMYFUNCTION("IF(I1090="""","""",FILTER(DATOS!$D$4:$D$237,DATOS!$B$4:$B$237=I1090))"),"07-163")</f>
        <v>07-163</v>
      </c>
      <c r="H1077" s="109" t="str">
        <f ca="1">IFERROR(__xludf.DUMMYFUNCTION("IF(I1090="""","""",FILTER(DATOS!$C$4:$C$237,DATOS!$B$4:$B$237=I1090))"),"BOSA")</f>
        <v>BOSA</v>
      </c>
      <c r="I1077" s="123" t="s">
        <v>80</v>
      </c>
      <c r="J1077" s="121" t="s">
        <v>484</v>
      </c>
      <c r="K1077" s="120">
        <v>529911</v>
      </c>
      <c r="L1077" s="57"/>
    </row>
    <row r="1078" spans="1:12">
      <c r="A1078" s="234"/>
      <c r="B1078" s="234"/>
      <c r="C1078" s="234"/>
      <c r="D1078" s="237"/>
      <c r="E1078" s="237"/>
      <c r="F1078" s="240"/>
      <c r="G1078" s="109" t="str">
        <f ca="1">IFERROR(__xludf.DUMMYFUNCTION("IF(I1091="""","""",FILTER(DATOS!$D$4:$D$237,DATOS!$B$4:$B$237=I1091))"),"07-163")</f>
        <v>07-163</v>
      </c>
      <c r="H1078" s="109" t="str">
        <f ca="1">IFERROR(__xludf.DUMMYFUNCTION("IF(I1091="""","""",FILTER(DATOS!$C$4:$C$237,DATOS!$B$4:$B$237=I1091))"),"BOSA")</f>
        <v>BOSA</v>
      </c>
      <c r="I1078" s="123" t="s">
        <v>80</v>
      </c>
      <c r="J1078" s="121" t="s">
        <v>484</v>
      </c>
      <c r="K1078" s="120">
        <v>518356</v>
      </c>
      <c r="L1078" s="57"/>
    </row>
    <row r="1079" spans="1:12">
      <c r="A1079" s="234"/>
      <c r="B1079" s="234"/>
      <c r="C1079" s="234"/>
      <c r="D1079" s="237"/>
      <c r="E1079" s="237"/>
      <c r="F1079" s="240"/>
      <c r="G1079" s="109" t="str">
        <f ca="1">IFERROR(__xludf.DUMMYFUNCTION("IF(I1092="""","""",FILTER(DATOS!$D$4:$D$237,DATOS!$B$4:$B$237=I1092))"),"16-099")</f>
        <v>16-099</v>
      </c>
      <c r="H1079" s="109" t="str">
        <f ca="1">IFERROR(__xludf.DUMMYFUNCTION("IF(I1092="""","""",FILTER(DATOS!$C$4:$C$237,DATOS!$B$4:$B$237=I1092))"),"PUENTE ARANDA")</f>
        <v>PUENTE ARANDA</v>
      </c>
      <c r="I1079" s="123" t="s">
        <v>112</v>
      </c>
      <c r="J1079" s="121" t="s">
        <v>479</v>
      </c>
      <c r="K1079" s="120">
        <v>515461</v>
      </c>
      <c r="L1079" s="57"/>
    </row>
    <row r="1080" spans="1:12">
      <c r="A1080" s="234"/>
      <c r="B1080" s="234"/>
      <c r="C1080" s="234"/>
      <c r="D1080" s="237"/>
      <c r="E1080" s="237"/>
      <c r="F1080" s="240"/>
      <c r="G1080" s="109" t="str">
        <f ca="1">IFERROR(__xludf.DUMMYFUNCTION("IF(I1093="""","""",FILTER(DATOS!$D$4:$D$237,DATOS!$B$4:$B$237=I1093))"),"07-321")</f>
        <v>07-321</v>
      </c>
      <c r="H1080" s="109" t="str">
        <f ca="1">IFERROR(__xludf.DUMMYFUNCTION("IF(I1093="""","""",FILTER(DATOS!$C$4:$C$237,DATOS!$B$4:$B$237=I1093))"),"BOSA")</f>
        <v>BOSA</v>
      </c>
      <c r="I1080" s="123" t="s">
        <v>323</v>
      </c>
      <c r="J1080" s="121" t="s">
        <v>479</v>
      </c>
      <c r="K1080" s="120">
        <v>506707</v>
      </c>
      <c r="L1080" s="57"/>
    </row>
    <row r="1081" spans="1:12">
      <c r="A1081" s="234"/>
      <c r="B1081" s="234"/>
      <c r="C1081" s="234"/>
      <c r="D1081" s="237"/>
      <c r="E1081" s="237"/>
      <c r="F1081" s="240"/>
      <c r="G1081" s="109" t="str">
        <f ca="1">IFERROR(__xludf.DUMMYFUNCTION("IF(I1094="""","""",FILTER(DATOS!$D$4:$D$237,DATOS!$B$4:$B$237=I1094))"),"07-403")</f>
        <v>07-403</v>
      </c>
      <c r="H1081" s="109" t="str">
        <f ca="1">IFERROR(__xludf.DUMMYFUNCTION("IF(I1094="""","""",FILTER(DATOS!$C$4:$C$237,DATOS!$B$4:$B$237=I1094))"),"BOSA")</f>
        <v>BOSA</v>
      </c>
      <c r="I1081" s="123" t="s">
        <v>322</v>
      </c>
      <c r="J1081" s="121" t="s">
        <v>479</v>
      </c>
      <c r="K1081" s="120">
        <v>513684</v>
      </c>
      <c r="L1081" s="57"/>
    </row>
    <row r="1082" spans="1:12">
      <c r="A1082" s="234"/>
      <c r="B1082" s="234"/>
      <c r="C1082" s="234"/>
      <c r="D1082" s="237"/>
      <c r="E1082" s="237"/>
      <c r="F1082" s="240"/>
      <c r="G1082" s="109" t="str">
        <f ca="1">IFERROR(__xludf.DUMMYFUNCTION("IF(I1095="""","""",FILTER(DATOS!$D$4:$D$237,DATOS!$B$4:$B$237=I1095))"),"07-436")</f>
        <v>07-436</v>
      </c>
      <c r="H1082" s="109" t="str">
        <f ca="1">IFERROR(__xludf.DUMMYFUNCTION("IF(I1095="""","""",FILTER(DATOS!$C$4:$C$237,DATOS!$B$4:$B$237=I1095))"),"BOSA")</f>
        <v>BOSA</v>
      </c>
      <c r="I1082" s="123" t="s">
        <v>140</v>
      </c>
      <c r="J1082" s="121" t="s">
        <v>479</v>
      </c>
      <c r="K1082" s="120">
        <v>507463</v>
      </c>
      <c r="L1082" s="57"/>
    </row>
    <row r="1083" spans="1:12">
      <c r="A1083" s="234"/>
      <c r="B1083" s="234"/>
      <c r="C1083" s="234"/>
      <c r="D1083" s="237"/>
      <c r="E1083" s="237"/>
      <c r="F1083" s="240"/>
      <c r="G1083" s="109" t="str">
        <f ca="1">IFERROR(__xludf.DUMMYFUNCTION("IF(I1096="""","""",FILTER(DATOS!$D$4:$D$237,DATOS!$B$4:$B$237=I1096))"),"07-436")</f>
        <v>07-436</v>
      </c>
      <c r="H1083" s="109" t="str">
        <f ca="1">IFERROR(__xludf.DUMMYFUNCTION("IF(I1096="""","""",FILTER(DATOS!$C$4:$C$237,DATOS!$B$4:$B$237=I1096))"),"BOSA")</f>
        <v>BOSA</v>
      </c>
      <c r="I1083" s="123" t="s">
        <v>140</v>
      </c>
      <c r="J1083" s="121" t="s">
        <v>479</v>
      </c>
      <c r="K1083" s="120">
        <v>506870</v>
      </c>
      <c r="L1083" s="57"/>
    </row>
    <row r="1084" spans="1:12">
      <c r="A1084" s="234"/>
      <c r="B1084" s="234"/>
      <c r="C1084" s="234"/>
      <c r="D1084" s="237"/>
      <c r="E1084" s="237"/>
      <c r="F1084" s="240"/>
      <c r="G1084" s="109" t="str">
        <f ca="1">IFERROR(__xludf.DUMMYFUNCTION("IF(I1097="""","""",FILTER(DATOS!$D$4:$D$237,DATOS!$B$4:$B$237=I1097))"),"07-436")</f>
        <v>07-436</v>
      </c>
      <c r="H1084" s="109" t="str">
        <f ca="1">IFERROR(__xludf.DUMMYFUNCTION("IF(I1097="""","""",FILTER(DATOS!$C$4:$C$237,DATOS!$B$4:$B$237=I1097))"),"BOSA")</f>
        <v>BOSA</v>
      </c>
      <c r="I1084" s="123" t="s">
        <v>140</v>
      </c>
      <c r="J1084" s="121" t="s">
        <v>479</v>
      </c>
      <c r="K1084" s="120">
        <v>500205</v>
      </c>
      <c r="L1084" s="57"/>
    </row>
    <row r="1085" spans="1:12">
      <c r="A1085" s="234"/>
      <c r="B1085" s="234"/>
      <c r="C1085" s="234"/>
      <c r="D1085" s="237"/>
      <c r="E1085" s="237"/>
      <c r="F1085" s="240"/>
      <c r="G1085" s="109" t="str">
        <f ca="1">IFERROR(__xludf.DUMMYFUNCTION("IF(I1098="""","""",FILTER(DATOS!$D$4:$D$237,DATOS!$B$4:$B$237=I1098))"),"09-200")</f>
        <v>09-200</v>
      </c>
      <c r="H1085" s="109" t="str">
        <f ca="1">IFERROR(__xludf.DUMMYFUNCTION("IF(I1098="""","""",FILTER(DATOS!$C$4:$C$237,DATOS!$B$4:$B$237=I1098))"),"FONTIBON")</f>
        <v>FONTIBON</v>
      </c>
      <c r="I1085" s="123" t="s">
        <v>340</v>
      </c>
      <c r="J1085" s="121" t="s">
        <v>479</v>
      </c>
      <c r="K1085" s="120">
        <v>509756</v>
      </c>
      <c r="L1085" s="57"/>
    </row>
    <row r="1086" spans="1:12">
      <c r="A1086" s="234"/>
      <c r="B1086" s="234"/>
      <c r="C1086" s="234"/>
      <c r="D1086" s="237"/>
      <c r="E1086" s="237"/>
      <c r="F1086" s="240"/>
      <c r="G1086" s="109" t="str">
        <f ca="1">IFERROR(__xludf.DUMMYFUNCTION("IF(I1099="""","""",FILTER(DATOS!$D$4:$D$237,DATOS!$B$4:$B$237=I1099))"),"09-200")</f>
        <v>09-200</v>
      </c>
      <c r="H1086" s="109" t="str">
        <f ca="1">IFERROR(__xludf.DUMMYFUNCTION("IF(I1099="""","""",FILTER(DATOS!$C$4:$C$237,DATOS!$B$4:$B$237=I1099))"),"FONTIBON")</f>
        <v>FONTIBON</v>
      </c>
      <c r="I1086" s="123" t="s">
        <v>340</v>
      </c>
      <c r="J1086" s="121" t="s">
        <v>479</v>
      </c>
      <c r="K1086" s="120">
        <v>503167</v>
      </c>
      <c r="L1086" s="57"/>
    </row>
    <row r="1087" spans="1:12">
      <c r="A1087" s="234"/>
      <c r="B1087" s="234"/>
      <c r="C1087" s="234"/>
      <c r="D1087" s="237"/>
      <c r="E1087" s="237"/>
      <c r="F1087" s="240"/>
      <c r="G1087" s="109" t="str">
        <f ca="1">IFERROR(__xludf.DUMMYFUNCTION("IF(I1100="""","""",FILTER(DATOS!$D$4:$D$237,DATOS!$B$4:$B$237=I1100))"),"10-190")</f>
        <v>10-190</v>
      </c>
      <c r="H1087" s="109" t="str">
        <f ca="1">IFERROR(__xludf.DUMMYFUNCTION("IF(I1100="""","""",FILTER(DATOS!$C$4:$C$237,DATOS!$B$4:$B$237=I1100))"),"ENGATIVA")</f>
        <v>ENGATIVA</v>
      </c>
      <c r="I1087" s="123" t="s">
        <v>336</v>
      </c>
      <c r="J1087" s="121" t="s">
        <v>479</v>
      </c>
      <c r="K1087" s="120">
        <v>517869</v>
      </c>
      <c r="L1087" s="57"/>
    </row>
    <row r="1088" spans="1:12" ht="15" customHeight="1">
      <c r="A1088" s="234"/>
      <c r="B1088" s="234"/>
      <c r="C1088" s="234"/>
      <c r="D1088" s="237"/>
      <c r="E1088" s="237"/>
      <c r="F1088" s="240"/>
      <c r="G1088" s="109" t="str">
        <f ca="1">IFERROR(__xludf.DUMMYFUNCTION("IF(I1101="""","""",FILTER(DATOS!$D$4:$D$237,DATOS!$B$4:$B$237=I1101))"),"09-026")</f>
        <v>09-026</v>
      </c>
      <c r="H1088" s="109" t="str">
        <f ca="1">IFERROR(__xludf.DUMMYFUNCTION("IF(I1101="""","""",FILTER(DATOS!$C$4:$C$237,DATOS!$B$4:$B$237=I1101))"),"FONTIBON")</f>
        <v>FONTIBON</v>
      </c>
      <c r="I1088" s="123" t="s">
        <v>341</v>
      </c>
      <c r="J1088" s="121" t="s">
        <v>485</v>
      </c>
      <c r="K1088" s="120">
        <v>1009559</v>
      </c>
      <c r="L1088" s="57"/>
    </row>
    <row r="1089" spans="1:12" ht="15" customHeight="1">
      <c r="A1089" s="234"/>
      <c r="B1089" s="234"/>
      <c r="C1089" s="234"/>
      <c r="D1089" s="237"/>
      <c r="E1089" s="237"/>
      <c r="F1089" s="240"/>
      <c r="G1089" s="109" t="str">
        <f ca="1">IFERROR(__xludf.DUMMYFUNCTION("IF(I1102="""","""",FILTER(DATOS!$D$4:$D$237,DATOS!$B$4:$B$237=I1102))"),"16-153")</f>
        <v>16-153</v>
      </c>
      <c r="H1089" s="109" t="str">
        <f ca="1">IFERROR(__xludf.DUMMYFUNCTION("IF(I1102="""","""",FILTER(DATOS!$C$4:$C$237,DATOS!$B$4:$B$237=I1102))"),"PUENTE ARANDA")</f>
        <v>PUENTE ARANDA</v>
      </c>
      <c r="I1089" s="123" t="s">
        <v>350</v>
      </c>
      <c r="J1089" s="121" t="s">
        <v>485</v>
      </c>
      <c r="K1089" s="120">
        <v>602618</v>
      </c>
      <c r="L1089" s="57"/>
    </row>
    <row r="1090" spans="1:12">
      <c r="A1090" s="234"/>
      <c r="B1090" s="234"/>
      <c r="C1090" s="234"/>
      <c r="D1090" s="237"/>
      <c r="E1090" s="237"/>
      <c r="F1090" s="240"/>
      <c r="G1090" s="109" t="str">
        <f ca="1">IFERROR(__xludf.DUMMYFUNCTION("IF(I1103="""","""",FILTER(DATOS!$D$4:$D$237,DATOS!$B$4:$B$237=I1103))"),"16-415")</f>
        <v>16-415</v>
      </c>
      <c r="H1090" s="109" t="str">
        <f ca="1">IFERROR(__xludf.DUMMYFUNCTION("IF(I1103="""","""",FILTER(DATOS!$C$4:$C$237,DATOS!$B$4:$B$237=I1103))"),"PUENTE ARANDA")</f>
        <v>PUENTE ARANDA</v>
      </c>
      <c r="I1090" s="123" t="s">
        <v>486</v>
      </c>
      <c r="J1090" s="121" t="s">
        <v>479</v>
      </c>
      <c r="K1090" s="120">
        <v>501982</v>
      </c>
      <c r="L1090" s="57"/>
    </row>
    <row r="1091" spans="1:12" ht="15" customHeight="1">
      <c r="A1091" s="234"/>
      <c r="B1091" s="234"/>
      <c r="C1091" s="234"/>
      <c r="D1091" s="237"/>
      <c r="E1091" s="237"/>
      <c r="F1091" s="240"/>
      <c r="G1091" s="109" t="str">
        <f ca="1">IFERROR(__xludf.DUMMYFUNCTION("IF(I1104="""","""",FILTER(DATOS!$D$4:$D$237,DATOS!$B$4:$B$237=I1104))"),"01-189")</f>
        <v>01-189</v>
      </c>
      <c r="H1091" s="109" t="str">
        <f ca="1">IFERROR(__xludf.DUMMYFUNCTION("IF(I1104="""","""",FILTER(DATOS!$C$4:$C$237,DATOS!$B$4:$B$237=I1104))"),"USAQUEN")</f>
        <v>USAQUEN</v>
      </c>
      <c r="I1091" s="123" t="s">
        <v>376</v>
      </c>
      <c r="J1091" s="121" t="s">
        <v>485</v>
      </c>
      <c r="K1091" s="120">
        <v>637180</v>
      </c>
      <c r="L1091" s="57"/>
    </row>
    <row r="1092" spans="1:12" ht="36">
      <c r="A1092" s="234"/>
      <c r="B1092" s="234"/>
      <c r="C1092" s="234"/>
      <c r="D1092" s="237"/>
      <c r="E1092" s="237"/>
      <c r="F1092" s="240"/>
      <c r="G1092" s="109" t="str">
        <f ca="1">IFERROR(__xludf.DUMMYFUNCTION("IF(I1105="""","""",FILTER(DATOS!$D$4:$D$237,DATOS!$B$4:$B$237=I1105))"),"01-079")</f>
        <v>01-079</v>
      </c>
      <c r="H1092" s="109" t="str">
        <f ca="1">IFERROR(__xludf.DUMMYFUNCTION("IF(I1105="""","""",FILTER(DATOS!$C$4:$C$237,DATOS!$B$4:$B$237=I1105))"),"USAQUEN")</f>
        <v>USAQUEN</v>
      </c>
      <c r="I1092" s="123" t="s">
        <v>377</v>
      </c>
      <c r="J1092" s="121" t="s">
        <v>487</v>
      </c>
      <c r="K1092" s="120">
        <v>54638035</v>
      </c>
      <c r="L1092" s="57"/>
    </row>
    <row r="1093" spans="1:12" ht="15" customHeight="1">
      <c r="A1093" s="234"/>
      <c r="B1093" s="234"/>
      <c r="C1093" s="234"/>
      <c r="D1093" s="237"/>
      <c r="E1093" s="237"/>
      <c r="F1093" s="240"/>
      <c r="G1093" s="109" t="str">
        <f ca="1">IFERROR(__xludf.DUMMYFUNCTION("IF(I1106="""","""",FILTER(DATOS!$D$4:$D$237,DATOS!$B$4:$B$237=I1106))"),"11-058")</f>
        <v>11-058</v>
      </c>
      <c r="H1093" s="109" t="str">
        <f ca="1">IFERROR(__xludf.DUMMYFUNCTION("IF(I1106="""","""",FILTER(DATOS!$C$4:$C$237,DATOS!$B$4:$B$237=I1106))"),"SUBA")</f>
        <v>SUBA</v>
      </c>
      <c r="I1093" s="123" t="s">
        <v>360</v>
      </c>
      <c r="J1093" s="121" t="s">
        <v>485</v>
      </c>
      <c r="K1093" s="120">
        <v>676382</v>
      </c>
      <c r="L1093" s="57"/>
    </row>
    <row r="1094" spans="1:12" ht="15" customHeight="1">
      <c r="A1094" s="234"/>
      <c r="B1094" s="234"/>
      <c r="C1094" s="234"/>
      <c r="D1094" s="237"/>
      <c r="E1094" s="237"/>
      <c r="F1094" s="240"/>
      <c r="G1094" s="109" t="str">
        <f ca="1">IFERROR(__xludf.DUMMYFUNCTION("IF(I1107="""","""",FILTER(DATOS!$D$4:$D$237,DATOS!$B$4:$B$237=I1107))"),"11-058")</f>
        <v>11-058</v>
      </c>
      <c r="H1094" s="109" t="str">
        <f ca="1">IFERROR(__xludf.DUMMYFUNCTION("IF(I1107="""","""",FILTER(DATOS!$C$4:$C$237,DATOS!$B$4:$B$237=I1107))"),"SUBA")</f>
        <v>SUBA</v>
      </c>
      <c r="I1094" s="123" t="s">
        <v>360</v>
      </c>
      <c r="J1094" s="121" t="s">
        <v>485</v>
      </c>
      <c r="K1094" s="120">
        <v>712051</v>
      </c>
      <c r="L1094" s="57"/>
    </row>
    <row r="1095" spans="1:12">
      <c r="A1095" s="234"/>
      <c r="B1095" s="234"/>
      <c r="C1095" s="234"/>
      <c r="D1095" s="237"/>
      <c r="E1095" s="237"/>
      <c r="F1095" s="240"/>
      <c r="G1095" s="109" t="str">
        <f ca="1">IFERROR(__xludf.DUMMYFUNCTION("IF(I1108="""","""",FILTER(DATOS!$D$4:$D$237,DATOS!$B$4:$B$237=I1108))"),"11-309")</f>
        <v>11-309</v>
      </c>
      <c r="H1095" s="109" t="str">
        <f ca="1">IFERROR(__xludf.DUMMYFUNCTION("IF(I1108="""","""",FILTER(DATOS!$C$4:$C$237,DATOS!$B$4:$B$237=I1108))"),"SUBA")</f>
        <v>SUBA</v>
      </c>
      <c r="I1095" s="123" t="s">
        <v>361</v>
      </c>
      <c r="J1095" s="121" t="s">
        <v>479</v>
      </c>
      <c r="K1095" s="120">
        <v>500352</v>
      </c>
      <c r="L1095" s="57"/>
    </row>
    <row r="1096" spans="1:12">
      <c r="A1096" s="234"/>
      <c r="B1096" s="234"/>
      <c r="C1096" s="234"/>
      <c r="D1096" s="237"/>
      <c r="E1096" s="237"/>
      <c r="F1096" s="240"/>
      <c r="G1096" s="109" t="str">
        <f ca="1">IFERROR(__xludf.DUMMYFUNCTION("IF(I1109="""","""",FILTER(DATOS!$D$4:$D$237,DATOS!$B$4:$B$237=I1109))"),"11-204")</f>
        <v>11-204</v>
      </c>
      <c r="H1096" s="109" t="str">
        <f ca="1">IFERROR(__xludf.DUMMYFUNCTION("IF(I1109="""","""",FILTER(DATOS!$C$4:$C$237,DATOS!$B$4:$B$237=I1109))"),"SUBA")</f>
        <v>SUBA</v>
      </c>
      <c r="I1096" s="123" t="s">
        <v>42</v>
      </c>
      <c r="J1096" s="121" t="s">
        <v>479</v>
      </c>
      <c r="K1096" s="120">
        <v>504796</v>
      </c>
      <c r="L1096" s="57"/>
    </row>
    <row r="1097" spans="1:12">
      <c r="A1097" s="234"/>
      <c r="B1097" s="234"/>
      <c r="C1097" s="234"/>
      <c r="D1097" s="237"/>
      <c r="E1097" s="237"/>
      <c r="F1097" s="240"/>
      <c r="G1097" s="109" t="str">
        <f ca="1">IFERROR(__xludf.DUMMYFUNCTION("IF(I1110="""","""",FILTER(DATOS!$D$4:$D$237,DATOS!$B$4:$B$237=I1110))"),"10-531")</f>
        <v>10-531</v>
      </c>
      <c r="H1097" s="109" t="str">
        <f ca="1">IFERROR(__xludf.DUMMYFUNCTION("IF(I1110="""","""",FILTER(DATOS!$C$4:$C$237,DATOS!$B$4:$B$237=I1110))"),"ENGATIVA")</f>
        <v>ENGATIVA</v>
      </c>
      <c r="I1097" s="123" t="s">
        <v>52</v>
      </c>
      <c r="J1097" s="121" t="s">
        <v>479</v>
      </c>
      <c r="K1097" s="120">
        <v>518721</v>
      </c>
      <c r="L1097" s="57"/>
    </row>
    <row r="1098" spans="1:12">
      <c r="A1098" s="234"/>
      <c r="B1098" s="234"/>
      <c r="C1098" s="234"/>
      <c r="D1098" s="237"/>
      <c r="E1098" s="237"/>
      <c r="F1098" s="240"/>
      <c r="G1098" s="109" t="str">
        <f ca="1">IFERROR(__xludf.DUMMYFUNCTION("IF(I1111="""","""",FILTER(DATOS!$D$4:$D$237,DATOS!$B$4:$B$237=I1111))"),"12-091")</f>
        <v>12-091</v>
      </c>
      <c r="H1098" s="109" t="str">
        <f ca="1">IFERROR(__xludf.DUMMYFUNCTION("IF(I1111="""","""",FILTER(DATOS!$C$4:$C$237,DATOS!$B$4:$B$237=I1111))"),"BARRIOS UNIDOS")</f>
        <v>BARRIOS UNIDOS</v>
      </c>
      <c r="I1098" s="123" t="s">
        <v>53</v>
      </c>
      <c r="J1098" s="121" t="s">
        <v>479</v>
      </c>
      <c r="K1098" s="120">
        <v>518721</v>
      </c>
      <c r="L1098" s="57"/>
    </row>
    <row r="1099" spans="1:12">
      <c r="A1099" s="234"/>
      <c r="B1099" s="234"/>
      <c r="C1099" s="234"/>
      <c r="D1099" s="237"/>
      <c r="E1099" s="237"/>
      <c r="F1099" s="240"/>
      <c r="G1099" s="109" t="str">
        <f ca="1">IFERROR(__xludf.DUMMYFUNCTION("IF(I1112="""","""",FILTER(DATOS!$D$4:$D$237,DATOS!$B$4:$B$237=I1112))"),"12-091")</f>
        <v>12-091</v>
      </c>
      <c r="H1099" s="109" t="str">
        <f ca="1">IFERROR(__xludf.DUMMYFUNCTION("IF(I1112="""","""",FILTER(DATOS!$C$4:$C$237,DATOS!$B$4:$B$237=I1112))"),"BARRIOS UNIDOS")</f>
        <v>BARRIOS UNIDOS</v>
      </c>
      <c r="I1099" s="123" t="s">
        <v>53</v>
      </c>
      <c r="J1099" s="121" t="s">
        <v>479</v>
      </c>
      <c r="K1099" s="120">
        <v>519016</v>
      </c>
      <c r="L1099" s="57"/>
    </row>
    <row r="1100" spans="1:12">
      <c r="A1100" s="234"/>
      <c r="B1100" s="234"/>
      <c r="C1100" s="234"/>
      <c r="D1100" s="237"/>
      <c r="E1100" s="237"/>
      <c r="F1100" s="240"/>
      <c r="G1100" s="109" t="str">
        <f ca="1">IFERROR(__xludf.DUMMYFUNCTION("IF(I1113="""","""",FILTER(DATOS!$D$4:$D$237,DATOS!$B$4:$B$237=I1113))"),"12-023")</f>
        <v>12-023</v>
      </c>
      <c r="H1100" s="109" t="str">
        <f ca="1">IFERROR(__xludf.DUMMYFUNCTION("IF(I1113="""","""",FILTER(DATOS!$C$4:$C$237,DATOS!$B$4:$B$237=I1113))"),"BARRIOS UNIDOS")</f>
        <v>BARRIOS UNIDOS</v>
      </c>
      <c r="I1100" s="123" t="s">
        <v>36</v>
      </c>
      <c r="J1100" s="121" t="s">
        <v>479</v>
      </c>
      <c r="K1100" s="120">
        <v>503167</v>
      </c>
      <c r="L1100" s="57"/>
    </row>
    <row r="1101" spans="1:12">
      <c r="A1101" s="234"/>
      <c r="B1101" s="234"/>
      <c r="C1101" s="234"/>
      <c r="D1101" s="237"/>
      <c r="E1101" s="237"/>
      <c r="F1101" s="240"/>
      <c r="G1101" s="109" t="str">
        <f ca="1">IFERROR(__xludf.DUMMYFUNCTION("IF(I1114="""","""",FILTER(DATOS!$D$4:$D$237,DATOS!$B$4:$B$237=I1114))"),"10-117")</f>
        <v>10-117</v>
      </c>
      <c r="H1101" s="109" t="str">
        <f ca="1">IFERROR(__xludf.DUMMYFUNCTION("IF(I1114="""","""",FILTER(DATOS!$C$4:$C$237,DATOS!$B$4:$B$237=I1114))"),"ENGATIVA")</f>
        <v>ENGATIVA</v>
      </c>
      <c r="I1101" s="123" t="s">
        <v>330</v>
      </c>
      <c r="J1101" s="121" t="s">
        <v>479</v>
      </c>
      <c r="K1101" s="120">
        <v>518573</v>
      </c>
      <c r="L1101" s="57"/>
    </row>
    <row r="1102" spans="1:12">
      <c r="A1102" s="234"/>
      <c r="B1102" s="234"/>
      <c r="C1102" s="234"/>
      <c r="D1102" s="237"/>
      <c r="E1102" s="237"/>
      <c r="F1102" s="240"/>
      <c r="G1102" s="109" t="str">
        <f ca="1">IFERROR(__xludf.DUMMYFUNCTION("IF(I1115="""","""",FILTER(DATOS!$D$4:$D$237,DATOS!$B$4:$B$237=I1115))"),"15-036")</f>
        <v>15-036</v>
      </c>
      <c r="H1102" s="109" t="str">
        <f ca="1">IFERROR(__xludf.DUMMYFUNCTION("IF(I1115="""","""",FILTER(DATOS!$C$4:$C$237,DATOS!$B$4:$B$237=I1115))"),"ANTONIO NARIÑO")</f>
        <v>ANTONIO NARIÑO</v>
      </c>
      <c r="I1102" s="123" t="s">
        <v>137</v>
      </c>
      <c r="J1102" s="121" t="s">
        <v>479</v>
      </c>
      <c r="K1102" s="120">
        <v>515906</v>
      </c>
      <c r="L1102" s="57"/>
    </row>
    <row r="1103" spans="1:12">
      <c r="A1103" s="234"/>
      <c r="B1103" s="234"/>
      <c r="C1103" s="234"/>
      <c r="D1103" s="237"/>
      <c r="E1103" s="237"/>
      <c r="F1103" s="240"/>
      <c r="G1103" s="109" t="str">
        <f ca="1">IFERROR(__xludf.DUMMYFUNCTION("IF(I1116="""","""",FILTER(DATOS!$D$4:$D$237,DATOS!$B$4:$B$237=I1116))"),"03-036")</f>
        <v>03-036</v>
      </c>
      <c r="H1103" s="109" t="str">
        <f ca="1">IFERROR(__xludf.DUMMYFUNCTION("IF(I1116="""","""",FILTER(DATOS!$C$4:$C$237,DATOS!$B$4:$B$237=I1116))"),"SANTAFE")</f>
        <v>SANTAFE</v>
      </c>
      <c r="I1103" s="123" t="s">
        <v>109</v>
      </c>
      <c r="J1103" s="121" t="s">
        <v>479</v>
      </c>
      <c r="K1103" s="120">
        <v>996261.03</v>
      </c>
      <c r="L1103" s="57"/>
    </row>
    <row r="1104" spans="1:12">
      <c r="A1104" s="234"/>
      <c r="B1104" s="234"/>
      <c r="C1104" s="234"/>
      <c r="D1104" s="237"/>
      <c r="E1104" s="237"/>
      <c r="F1104" s="240"/>
      <c r="G1104" s="109" t="str">
        <f ca="1">IFERROR(__xludf.DUMMYFUNCTION("IF(I1117="""","""",FILTER(DATOS!$D$4:$D$237,DATOS!$B$4:$B$237=I1117))"),"")</f>
        <v/>
      </c>
      <c r="H1104" s="109" t="str">
        <f ca="1">IFERROR(__xludf.DUMMYFUNCTION("IF(I1117="""","""",FILTER(DATOS!$C$4:$C$237,DATOS!$B$4:$B$237=I1117))"),"")</f>
        <v/>
      </c>
      <c r="I1104" s="123" t="s">
        <v>115</v>
      </c>
      <c r="J1104" s="121" t="s">
        <v>479</v>
      </c>
      <c r="K1104" s="120">
        <v>1002186.03</v>
      </c>
      <c r="L1104" s="57"/>
    </row>
    <row r="1105" spans="1:12">
      <c r="A1105" s="234"/>
      <c r="B1105" s="234"/>
      <c r="C1105" s="234"/>
      <c r="D1105" s="237"/>
      <c r="E1105" s="237"/>
      <c r="F1105" s="240"/>
      <c r="G1105" s="109" t="str">
        <f ca="1">IFERROR(__xludf.DUMMYFUNCTION("IF(I1118="""","""",FILTER(DATOS!$D$4:$D$237,DATOS!$B$4:$B$237=I1118))"),"03-085")</f>
        <v>03-085</v>
      </c>
      <c r="H1105" s="109" t="str">
        <f ca="1">IFERROR(__xludf.DUMMYFUNCTION("IF(I1118="""","""",FILTER(DATOS!$C$4:$C$237,DATOS!$B$4:$B$237=I1118))"),"SANTAFE")</f>
        <v>SANTAFE</v>
      </c>
      <c r="I1105" s="123" t="s">
        <v>129</v>
      </c>
      <c r="J1105" s="121" t="s">
        <v>479</v>
      </c>
      <c r="K1105" s="120">
        <v>1001891.9299999999</v>
      </c>
      <c r="L1105" s="57"/>
    </row>
    <row r="1106" spans="1:12">
      <c r="A1106" s="234"/>
      <c r="B1106" s="234"/>
      <c r="C1106" s="234"/>
      <c r="D1106" s="237"/>
      <c r="E1106" s="237"/>
      <c r="F1106" s="240"/>
      <c r="G1106" s="109" t="str">
        <f ca="1">IFERROR(__xludf.DUMMYFUNCTION("IF(I1119="""","""",FILTER(DATOS!$D$4:$D$237,DATOS!$B$4:$B$237=I1119))"),"03-085")</f>
        <v>03-085</v>
      </c>
      <c r="H1106" s="109" t="str">
        <f ca="1">IFERROR(__xludf.DUMMYFUNCTION("IF(I1119="""","""",FILTER(DATOS!$C$4:$C$237,DATOS!$B$4:$B$237=I1119))"),"SANTAFE")</f>
        <v>SANTAFE</v>
      </c>
      <c r="I1106" s="123" t="s">
        <v>129</v>
      </c>
      <c r="J1106" s="121" t="s">
        <v>479</v>
      </c>
      <c r="K1106" s="120">
        <v>1001889.9299999999</v>
      </c>
      <c r="L1106" s="57"/>
    </row>
    <row r="1107" spans="1:12">
      <c r="A1107" s="234"/>
      <c r="B1107" s="234"/>
      <c r="C1107" s="234"/>
      <c r="D1107" s="237"/>
      <c r="E1107" s="237"/>
      <c r="F1107" s="240"/>
      <c r="G1107" s="109" t="str">
        <f ca="1">IFERROR(__xludf.DUMMYFUNCTION("IF(I1120="""","""",FILTER(DATOS!$D$4:$D$237,DATOS!$B$4:$B$237=I1120))"),"03-085")</f>
        <v>03-085</v>
      </c>
      <c r="H1107" s="109" t="str">
        <f ca="1">IFERROR(__xludf.DUMMYFUNCTION("IF(I1120="""","""",FILTER(DATOS!$C$4:$C$237,DATOS!$B$4:$B$237=I1120))"),"SANTAFE")</f>
        <v>SANTAFE</v>
      </c>
      <c r="I1107" s="123" t="s">
        <v>129</v>
      </c>
      <c r="J1107" s="121" t="s">
        <v>479</v>
      </c>
      <c r="K1107" s="120">
        <v>1035070.24</v>
      </c>
      <c r="L1107" s="57"/>
    </row>
    <row r="1108" spans="1:12">
      <c r="A1108" s="234"/>
      <c r="B1108" s="234"/>
      <c r="C1108" s="234"/>
      <c r="D1108" s="237"/>
      <c r="E1108" s="237"/>
      <c r="F1108" s="240"/>
      <c r="G1108" s="109" t="str">
        <f ca="1">IFERROR(__xludf.DUMMYFUNCTION("IF(I1121="""","""",FILTER(DATOS!$D$4:$D$237,DATOS!$B$4:$B$237=I1121))"),"03-122")</f>
        <v>03-122</v>
      </c>
      <c r="H1108" s="109" t="str">
        <f ca="1">IFERROR(__xludf.DUMMYFUNCTION("IF(I1121="""","""",FILTER(DATOS!$C$4:$C$237,DATOS!$B$4:$B$237=I1121))"),"SANTAFE")</f>
        <v>SANTAFE</v>
      </c>
      <c r="I1108" s="123" t="s">
        <v>356</v>
      </c>
      <c r="J1108" s="121" t="s">
        <v>479</v>
      </c>
      <c r="K1108" s="120">
        <v>991077.03</v>
      </c>
      <c r="L1108" s="57"/>
    </row>
    <row r="1109" spans="1:12" ht="15" customHeight="1">
      <c r="A1109" s="234"/>
      <c r="B1109" s="234"/>
      <c r="C1109" s="234"/>
      <c r="D1109" s="237"/>
      <c r="E1109" s="237"/>
      <c r="F1109" s="240"/>
      <c r="G1109" s="109" t="str">
        <f ca="1">IFERROR(__xludf.DUMMYFUNCTION("IF(I1122="""","""",FILTER(DATOS!$D$4:$D$237,DATOS!$B$4:$B$237=I1122))"),"08-241")</f>
        <v>08-241</v>
      </c>
      <c r="H1109" s="109" t="str">
        <f ca="1">IFERROR(__xludf.DUMMYFUNCTION("IF(I1122="""","""",FILTER(DATOS!$C$4:$C$237,DATOS!$B$4:$B$237=I1122))"),"KENNEDY")</f>
        <v>KENNEDY</v>
      </c>
      <c r="I1109" s="123" t="s">
        <v>78</v>
      </c>
      <c r="J1109" s="121" t="s">
        <v>485</v>
      </c>
      <c r="K1109" s="120">
        <v>2574128.81</v>
      </c>
      <c r="L1109" s="57"/>
    </row>
    <row r="1110" spans="1:12">
      <c r="A1110" s="234"/>
      <c r="B1110" s="234"/>
      <c r="C1110" s="234"/>
      <c r="D1110" s="237"/>
      <c r="E1110" s="237"/>
      <c r="F1110" s="240"/>
      <c r="G1110" s="109" t="str">
        <f ca="1">IFERROR(__xludf.DUMMYFUNCTION("IF(I1123="""","""",FILTER(DATOS!$D$4:$D$237,DATOS!$B$4:$B$237=I1123))"),"08-552")</f>
        <v>08-552</v>
      </c>
      <c r="H1110" s="109" t="str">
        <f ca="1">IFERROR(__xludf.DUMMYFUNCTION("IF(I1123="""","""",FILTER(DATOS!$C$4:$C$237,DATOS!$B$4:$B$237=I1123))"),"KENNEDY")</f>
        <v>KENNEDY</v>
      </c>
      <c r="I1110" s="123" t="s">
        <v>97</v>
      </c>
      <c r="J1110" s="121" t="s">
        <v>479</v>
      </c>
      <c r="K1110" s="120">
        <v>1031811.8300000001</v>
      </c>
      <c r="L1110" s="57"/>
    </row>
    <row r="1111" spans="1:12">
      <c r="A1111" s="234"/>
      <c r="B1111" s="234"/>
      <c r="C1111" s="234"/>
      <c r="D1111" s="237"/>
      <c r="E1111" s="237"/>
      <c r="F1111" s="240"/>
      <c r="G1111" s="109" t="str">
        <f ca="1">IFERROR(__xludf.DUMMYFUNCTION("IF(I1124="""","""",FILTER(DATOS!$D$4:$D$237,DATOS!$B$4:$B$237=I1124))"),"08-552")</f>
        <v>08-552</v>
      </c>
      <c r="H1111" s="109" t="str">
        <f ca="1">IFERROR(__xludf.DUMMYFUNCTION("IF(I1124="""","""",FILTER(DATOS!$C$4:$C$237,DATOS!$B$4:$B$237=I1124))"),"KENNEDY")</f>
        <v>KENNEDY</v>
      </c>
      <c r="I1111" s="123" t="s">
        <v>97</v>
      </c>
      <c r="J1111" s="121" t="s">
        <v>479</v>
      </c>
      <c r="K1111" s="120">
        <v>1009888.38</v>
      </c>
      <c r="L1111" s="57"/>
    </row>
    <row r="1112" spans="1:12">
      <c r="A1112" s="234"/>
      <c r="B1112" s="234"/>
      <c r="C1112" s="234"/>
      <c r="D1112" s="237"/>
      <c r="E1112" s="237"/>
      <c r="F1112" s="240"/>
      <c r="G1112" s="109" t="str">
        <f ca="1">IFERROR(__xludf.DUMMYFUNCTION("IF(I1125="""","""",FILTER(DATOS!$D$4:$D$237,DATOS!$B$4:$B$237=I1125))"),"08-552")</f>
        <v>08-552</v>
      </c>
      <c r="H1112" s="109" t="str">
        <f ca="1">IFERROR(__xludf.DUMMYFUNCTION("IF(I1125="""","""",FILTER(DATOS!$C$4:$C$237,DATOS!$B$4:$B$237=I1125))"),"KENNEDY")</f>
        <v>KENNEDY</v>
      </c>
      <c r="I1112" s="123" t="s">
        <v>97</v>
      </c>
      <c r="J1112" s="121" t="s">
        <v>479</v>
      </c>
      <c r="K1112" s="120">
        <v>1003371.5700000001</v>
      </c>
      <c r="L1112" s="57"/>
    </row>
    <row r="1113" spans="1:12">
      <c r="A1113" s="234"/>
      <c r="B1113" s="234"/>
      <c r="C1113" s="234"/>
      <c r="D1113" s="237"/>
      <c r="E1113" s="237"/>
      <c r="F1113" s="240"/>
      <c r="G1113" s="109" t="str">
        <f ca="1">IFERROR(__xludf.DUMMYFUNCTION("IF(I1126="""","""",FILTER(DATOS!$D$4:$D$237,DATOS!$B$4:$B$237=I1126))"),"08-552")</f>
        <v>08-552</v>
      </c>
      <c r="H1113" s="109" t="str">
        <f ca="1">IFERROR(__xludf.DUMMYFUNCTION("IF(I1126="""","""",FILTER(DATOS!$C$4:$C$237,DATOS!$B$4:$B$237=I1126))"),"KENNEDY")</f>
        <v>KENNEDY</v>
      </c>
      <c r="I1113" s="123" t="s">
        <v>97</v>
      </c>
      <c r="J1113" s="121" t="s">
        <v>479</v>
      </c>
      <c r="K1113" s="120">
        <v>1003371.5700000001</v>
      </c>
      <c r="L1113" s="57"/>
    </row>
    <row r="1114" spans="1:12">
      <c r="A1114" s="234"/>
      <c r="B1114" s="234"/>
      <c r="C1114" s="234"/>
      <c r="D1114" s="237"/>
      <c r="E1114" s="237"/>
      <c r="F1114" s="240"/>
      <c r="G1114" s="109" t="str">
        <f ca="1">IFERROR(__xludf.DUMMYFUNCTION("IF(I1127="""","""",FILTER(DATOS!$D$4:$D$237,DATOS!$B$4:$B$237=I1127))"),"08-552")</f>
        <v>08-552</v>
      </c>
      <c r="H1114" s="109" t="str">
        <f ca="1">IFERROR(__xludf.DUMMYFUNCTION("IF(I1127="""","""",FILTER(DATOS!$C$4:$C$237,DATOS!$B$4:$B$237=I1127))"),"KENNEDY")</f>
        <v>KENNEDY</v>
      </c>
      <c r="I1114" s="123" t="s">
        <v>97</v>
      </c>
      <c r="J1114" s="121" t="s">
        <v>479</v>
      </c>
      <c r="K1114" s="120">
        <v>990632.08000000007</v>
      </c>
      <c r="L1114" s="57"/>
    </row>
    <row r="1115" spans="1:12">
      <c r="A1115" s="234"/>
      <c r="B1115" s="234"/>
      <c r="C1115" s="234"/>
      <c r="D1115" s="237"/>
      <c r="E1115" s="237"/>
      <c r="F1115" s="240"/>
      <c r="G1115" s="109" t="str">
        <f ca="1">IFERROR(__xludf.DUMMYFUNCTION("IF(I1128="""","""",FILTER(DATOS!$D$4:$D$237,DATOS!$B$4:$B$237=I1128))"),"16-126")</f>
        <v>16-126</v>
      </c>
      <c r="H1115" s="109" t="str">
        <f ca="1">IFERROR(__xludf.DUMMYFUNCTION("IF(I1128="""","""",FILTER(DATOS!$C$4:$C$237,DATOS!$B$4:$B$237=I1128))"),"PUENTE ARANDA")</f>
        <v>PUENTE ARANDA</v>
      </c>
      <c r="I1115" s="123" t="s">
        <v>349</v>
      </c>
      <c r="J1115" s="121" t="s">
        <v>479</v>
      </c>
      <c r="K1115" s="120">
        <v>997031.03</v>
      </c>
      <c r="L1115" s="57"/>
    </row>
    <row r="1116" spans="1:12">
      <c r="A1116" s="234"/>
      <c r="B1116" s="234"/>
      <c r="C1116" s="234"/>
      <c r="D1116" s="237"/>
      <c r="E1116" s="237"/>
      <c r="F1116" s="240"/>
      <c r="G1116" s="109" t="str">
        <f ca="1">IFERROR(__xludf.DUMMYFUNCTION("IF(I1129="""","""",FILTER(DATOS!$D$4:$D$237,DATOS!$B$4:$B$237=I1129))"),"08-066")</f>
        <v>08-066</v>
      </c>
      <c r="H1116" s="109" t="str">
        <f ca="1">IFERROR(__xludf.DUMMYFUNCTION("IF(I1129="""","""",FILTER(DATOS!$C$4:$C$237,DATOS!$B$4:$B$237=I1129))"),"KENNEDY")</f>
        <v>KENNEDY</v>
      </c>
      <c r="I1116" s="123" t="s">
        <v>110</v>
      </c>
      <c r="J1116" s="121" t="s">
        <v>479</v>
      </c>
      <c r="K1116" s="120">
        <v>1006630.03</v>
      </c>
      <c r="L1116" s="57"/>
    </row>
    <row r="1117" spans="1:12">
      <c r="A1117" s="234"/>
      <c r="B1117" s="234"/>
      <c r="C1117" s="234"/>
      <c r="D1117" s="237"/>
      <c r="E1117" s="237"/>
      <c r="F1117" s="240"/>
      <c r="G1117" s="109" t="str">
        <f ca="1">IFERROR(__xludf.DUMMYFUNCTION("IF(I1130="""","""",FILTER(DATOS!$D$4:$D$237,DATOS!$B$4:$B$237=I1130))"),"08-066")</f>
        <v>08-066</v>
      </c>
      <c r="H1117" s="109" t="str">
        <f ca="1">IFERROR(__xludf.DUMMYFUNCTION("IF(I1130="""","""",FILTER(DATOS!$C$4:$C$237,DATOS!$B$4:$B$237=I1130))"),"KENNEDY")</f>
        <v>KENNEDY</v>
      </c>
      <c r="I1117" s="123" t="s">
        <v>110</v>
      </c>
      <c r="J1117" s="121" t="s">
        <v>479</v>
      </c>
      <c r="K1117" s="120">
        <v>997352.03</v>
      </c>
      <c r="L1117" s="57"/>
    </row>
    <row r="1118" spans="1:12">
      <c r="A1118" s="234"/>
      <c r="B1118" s="234"/>
      <c r="C1118" s="234"/>
      <c r="D1118" s="237"/>
      <c r="E1118" s="237"/>
      <c r="F1118" s="240"/>
      <c r="G1118" s="109" t="str">
        <f ca="1">IFERROR(__xludf.DUMMYFUNCTION("IF(I1131="""","""",FILTER(DATOS!$D$4:$D$237,DATOS!$B$4:$B$237=I1131))"),"14-009")</f>
        <v>14-009</v>
      </c>
      <c r="H1118" s="109" t="str">
        <f ca="1">IFERROR(__xludf.DUMMYFUNCTION("IF(I1131="""","""",FILTER(DATOS!$C$4:$C$237,DATOS!$B$4:$B$237=I1131))"),"MARTIRES")</f>
        <v>MARTIRES</v>
      </c>
      <c r="I1118" s="123" t="s">
        <v>150</v>
      </c>
      <c r="J1118" s="121" t="s">
        <v>479</v>
      </c>
      <c r="K1118" s="120">
        <v>1009594.25</v>
      </c>
      <c r="L1118" s="57"/>
    </row>
    <row r="1119" spans="1:12">
      <c r="A1119" s="234"/>
      <c r="B1119" s="234"/>
      <c r="C1119" s="234"/>
      <c r="D1119" s="237"/>
      <c r="E1119" s="237"/>
      <c r="F1119" s="240"/>
      <c r="G1119" s="109" t="str">
        <f ca="1">IFERROR(__xludf.DUMMYFUNCTION("IF(I1132="""","""",FILTER(DATOS!$D$4:$D$237,DATOS!$B$4:$B$237=I1132))"),"14-009")</f>
        <v>14-009</v>
      </c>
      <c r="H1119" s="109" t="str">
        <f ca="1">IFERROR(__xludf.DUMMYFUNCTION("IF(I1132="""","""",FILTER(DATOS!$C$4:$C$237,DATOS!$B$4:$B$237=I1132))"),"MARTIRES")</f>
        <v>MARTIRES</v>
      </c>
      <c r="I1119" s="123" t="s">
        <v>150</v>
      </c>
      <c r="J1119" s="121" t="s">
        <v>479</v>
      </c>
      <c r="K1119" s="120">
        <v>1000704.4199999999</v>
      </c>
      <c r="L1119" s="57"/>
    </row>
    <row r="1120" spans="1:12">
      <c r="A1120" s="234"/>
      <c r="B1120" s="234"/>
      <c r="C1120" s="234"/>
      <c r="D1120" s="237"/>
      <c r="E1120" s="237"/>
      <c r="F1120" s="240"/>
      <c r="G1120" s="109" t="str">
        <f ca="1">IFERROR(__xludf.DUMMYFUNCTION("IF(I1133="""","""",FILTER(DATOS!$D$4:$D$237,DATOS!$B$4:$B$237=I1133))"),"10-171")</f>
        <v>10-171</v>
      </c>
      <c r="H1120" s="109" t="str">
        <f ca="1">IFERROR(__xludf.DUMMYFUNCTION("IF(I1133="""","""",FILTER(DATOS!$C$4:$C$237,DATOS!$B$4:$B$237=I1133))"),"ENGATIVA")</f>
        <v>ENGATIVA</v>
      </c>
      <c r="I1120" s="123" t="s">
        <v>37</v>
      </c>
      <c r="J1120" s="121" t="s">
        <v>479</v>
      </c>
      <c r="K1120" s="120">
        <v>999815.04</v>
      </c>
      <c r="L1120" s="57"/>
    </row>
    <row r="1121" spans="1:12">
      <c r="A1121" s="234"/>
      <c r="B1121" s="234"/>
      <c r="C1121" s="234"/>
      <c r="D1121" s="237"/>
      <c r="E1121" s="237"/>
      <c r="F1121" s="240"/>
      <c r="G1121" s="109" t="str">
        <f ca="1">IFERROR(__xludf.DUMMYFUNCTION("IF(I1134="""","""",FILTER(DATOS!$D$4:$D$237,DATOS!$B$4:$B$237=I1134))"),"10-171")</f>
        <v>10-171</v>
      </c>
      <c r="H1121" s="109" t="str">
        <f ca="1">IFERROR(__xludf.DUMMYFUNCTION("IF(I1134="""","""",FILTER(DATOS!$C$4:$C$237,DATOS!$B$4:$B$237=I1134))"),"ENGATIVA")</f>
        <v>ENGATIVA</v>
      </c>
      <c r="I1121" s="123" t="s">
        <v>37</v>
      </c>
      <c r="J1121" s="121" t="s">
        <v>479</v>
      </c>
      <c r="K1121" s="120">
        <v>999817.04</v>
      </c>
      <c r="L1121" s="57"/>
    </row>
    <row r="1122" spans="1:12">
      <c r="A1122" s="234"/>
      <c r="B1122" s="234"/>
      <c r="C1122" s="234"/>
      <c r="D1122" s="237"/>
      <c r="E1122" s="237"/>
      <c r="F1122" s="240"/>
      <c r="G1122" s="109" t="str">
        <f ca="1">IFERROR(__xludf.DUMMYFUNCTION("IF(I1135="""","""",FILTER(DATOS!$D$4:$D$237,DATOS!$B$4:$B$237=I1135))"),"10-171")</f>
        <v>10-171</v>
      </c>
      <c r="H1122" s="109" t="str">
        <f ca="1">IFERROR(__xludf.DUMMYFUNCTION("IF(I1135="""","""",FILTER(DATOS!$C$4:$C$237,DATOS!$B$4:$B$237=I1135))"),"ENGATIVA")</f>
        <v>ENGATIVA</v>
      </c>
      <c r="I1122" s="123" t="s">
        <v>37</v>
      </c>
      <c r="J1122" s="121" t="s">
        <v>479</v>
      </c>
      <c r="K1122" s="120">
        <v>999817.04</v>
      </c>
      <c r="L1122" s="57"/>
    </row>
    <row r="1123" spans="1:12">
      <c r="A1123" s="234"/>
      <c r="B1123" s="234"/>
      <c r="C1123" s="234"/>
      <c r="D1123" s="237"/>
      <c r="E1123" s="237"/>
      <c r="F1123" s="240"/>
      <c r="G1123" s="109" t="str">
        <f ca="1">IFERROR(__xludf.DUMMYFUNCTION("IF(I1136="""","""",FILTER(DATOS!$D$4:$D$237,DATOS!$B$4:$B$237=I1136))"),"10-171")</f>
        <v>10-171</v>
      </c>
      <c r="H1123" s="109" t="str">
        <f ca="1">IFERROR(__xludf.DUMMYFUNCTION("IF(I1136="""","""",FILTER(DATOS!$C$4:$C$237,DATOS!$B$4:$B$237=I1136))"),"ENGATIVA")</f>
        <v>ENGATIVA</v>
      </c>
      <c r="I1123" s="123" t="s">
        <v>37</v>
      </c>
      <c r="J1123" s="121" t="s">
        <v>479</v>
      </c>
      <c r="K1123" s="120">
        <v>999815.04</v>
      </c>
      <c r="L1123" s="57"/>
    </row>
    <row r="1124" spans="1:12">
      <c r="A1124" s="234"/>
      <c r="B1124" s="234"/>
      <c r="C1124" s="234"/>
      <c r="D1124" s="237"/>
      <c r="E1124" s="237"/>
      <c r="F1124" s="240"/>
      <c r="G1124" s="109" t="str">
        <f ca="1">IFERROR(__xludf.DUMMYFUNCTION("IF(I1137="""","""",FILTER(DATOS!$D$4:$D$237,DATOS!$B$4:$B$237=I1137))"),"10-171")</f>
        <v>10-171</v>
      </c>
      <c r="H1124" s="109" t="str">
        <f ca="1">IFERROR(__xludf.DUMMYFUNCTION("IF(I1137="""","""",FILTER(DATOS!$C$4:$C$237,DATOS!$B$4:$B$237=I1137))"),"ENGATIVA")</f>
        <v>ENGATIVA</v>
      </c>
      <c r="I1124" s="123" t="s">
        <v>37</v>
      </c>
      <c r="J1124" s="121" t="s">
        <v>479</v>
      </c>
      <c r="K1124" s="120">
        <v>1009592.25</v>
      </c>
      <c r="L1124" s="57"/>
    </row>
    <row r="1125" spans="1:12">
      <c r="A1125" s="234"/>
      <c r="B1125" s="234"/>
      <c r="C1125" s="234"/>
      <c r="D1125" s="237"/>
      <c r="E1125" s="237"/>
      <c r="F1125" s="240"/>
      <c r="G1125" s="109" t="str">
        <f ca="1">IFERROR(__xludf.DUMMYFUNCTION("IF(I1138="""","""",FILTER(DATOS!$D$4:$D$237,DATOS!$B$4:$B$237=I1138))"),"10-171")</f>
        <v>10-171</v>
      </c>
      <c r="H1125" s="109" t="str">
        <f ca="1">IFERROR(__xludf.DUMMYFUNCTION("IF(I1138="""","""",FILTER(DATOS!$C$4:$C$237,DATOS!$B$4:$B$237=I1138))"),"ENGATIVA")</f>
        <v>ENGATIVA</v>
      </c>
      <c r="I1125" s="123" t="s">
        <v>37</v>
      </c>
      <c r="J1125" s="121" t="s">
        <v>479</v>
      </c>
      <c r="K1125" s="120">
        <v>1009591.25</v>
      </c>
      <c r="L1125" s="57"/>
    </row>
    <row r="1126" spans="1:12">
      <c r="A1126" s="234"/>
      <c r="B1126" s="234"/>
      <c r="C1126" s="234"/>
      <c r="D1126" s="237"/>
      <c r="E1126" s="237"/>
      <c r="F1126" s="240"/>
      <c r="G1126" s="109" t="str">
        <f ca="1">IFERROR(__xludf.DUMMYFUNCTION("IF(I1139="""","""",FILTER(DATOS!$D$4:$D$237,DATOS!$B$4:$B$237=I1139))"),"10-215")</f>
        <v>10-215</v>
      </c>
      <c r="H1126" s="109" t="str">
        <f ca="1">IFERROR(__xludf.DUMMYFUNCTION("IF(I1139="""","""",FILTER(DATOS!$C$4:$C$237,DATOS!$B$4:$B$237=I1139))"),"ENGATIVA")</f>
        <v>ENGATIVA</v>
      </c>
      <c r="I1126" s="123" t="s">
        <v>22</v>
      </c>
      <c r="J1126" s="121" t="s">
        <v>479</v>
      </c>
      <c r="K1126" s="120">
        <v>1038694.73</v>
      </c>
      <c r="L1126" s="57"/>
    </row>
    <row r="1127" spans="1:12" ht="60">
      <c r="A1127" s="234"/>
      <c r="B1127" s="234"/>
      <c r="C1127" s="234"/>
      <c r="D1127" s="237"/>
      <c r="E1127" s="237"/>
      <c r="F1127" s="240"/>
      <c r="G1127" s="109" t="str">
        <f ca="1">IFERROR(__xludf.DUMMYFUNCTION("IF(I1140="""","""",FILTER(DATOS!$D$4:$D$237,DATOS!$B$4:$B$237=I1140))"),"01-031")</f>
        <v>01-031</v>
      </c>
      <c r="H1127" s="109" t="str">
        <f ca="1">IFERROR(__xludf.DUMMYFUNCTION("IF(I1140="""","""",FILTER(DATOS!$C$4:$C$237,DATOS!$B$4:$B$237=I1140))"),"USAQUEN")</f>
        <v>USAQUEN</v>
      </c>
      <c r="I1127" s="123" t="s">
        <v>375</v>
      </c>
      <c r="J1127" s="121" t="s">
        <v>488</v>
      </c>
      <c r="K1127" s="120">
        <v>31077041.27</v>
      </c>
      <c r="L1127" s="57"/>
    </row>
    <row r="1128" spans="1:12" ht="24">
      <c r="A1128" s="234"/>
      <c r="B1128" s="234"/>
      <c r="C1128" s="234"/>
      <c r="D1128" s="237"/>
      <c r="E1128" s="237"/>
      <c r="F1128" s="240"/>
      <c r="G1128" s="109" t="str">
        <f ca="1">IFERROR(__xludf.DUMMYFUNCTION("IF(I1141="""","""",FILTER(DATOS!$D$4:$D$237,DATOS!$B$4:$B$237=I1141))"),"18-090")</f>
        <v>18-090</v>
      </c>
      <c r="H1128" s="109" t="str">
        <f ca="1">IFERROR(__xludf.DUMMYFUNCTION("IF(I1141="""","""",FILTER(DATOS!$C$4:$C$237,DATOS!$B$4:$B$237=I1141))"),"RAFAEL URIBE")</f>
        <v>RAFAEL URIBE</v>
      </c>
      <c r="I1128" s="123" t="s">
        <v>94</v>
      </c>
      <c r="J1128" s="121" t="s">
        <v>489</v>
      </c>
      <c r="K1128" s="120">
        <v>924480485.13</v>
      </c>
      <c r="L1128" s="57"/>
    </row>
    <row r="1129" spans="1:12" ht="60">
      <c r="A1129" s="234"/>
      <c r="B1129" s="234"/>
      <c r="C1129" s="234"/>
      <c r="D1129" s="237"/>
      <c r="E1129" s="237"/>
      <c r="F1129" s="240"/>
      <c r="G1129" s="109" t="str">
        <f ca="1">IFERROR(__xludf.DUMMYFUNCTION("IF(I1142="""","""",FILTER(DATOS!$D$4:$D$237,DATOS!$B$4:$B$237=I1142))"),"01-540")</f>
        <v>01-540</v>
      </c>
      <c r="H1129" s="109" t="str">
        <f ca="1">IFERROR(__xludf.DUMMYFUNCTION("IF(I1142="""","""",FILTER(DATOS!$C$4:$C$237,DATOS!$B$4:$B$237=I1142))"),"USAQUEN")</f>
        <v>USAQUEN</v>
      </c>
      <c r="I1129" s="123" t="s">
        <v>378</v>
      </c>
      <c r="J1129" s="121" t="s">
        <v>488</v>
      </c>
      <c r="K1129" s="120">
        <v>34470762.490000002</v>
      </c>
      <c r="L1129" s="57"/>
    </row>
    <row r="1130" spans="1:12">
      <c r="A1130" s="234"/>
      <c r="B1130" s="234"/>
      <c r="C1130" s="234"/>
      <c r="D1130" s="237"/>
      <c r="E1130" s="237"/>
      <c r="F1130" s="240"/>
      <c r="G1130" s="109" t="str">
        <f ca="1">IFERROR(__xludf.DUMMYFUNCTION("IF(I1143="""","""",FILTER(DATOS!$D$4:$D$237,DATOS!$B$4:$B$237=I1143))"),"10-117")</f>
        <v>10-117</v>
      </c>
      <c r="H1130" s="109" t="str">
        <f ca="1">IFERROR(__xludf.DUMMYFUNCTION("IF(I1143="""","""",FILTER(DATOS!$C$4:$C$237,DATOS!$B$4:$B$237=I1143))"),"ENGATIVA")</f>
        <v>ENGATIVA</v>
      </c>
      <c r="I1130" s="123" t="s">
        <v>330</v>
      </c>
      <c r="J1130" s="121" t="s">
        <v>479</v>
      </c>
      <c r="K1130" s="120">
        <v>518572.13</v>
      </c>
      <c r="L1130" s="57"/>
    </row>
    <row r="1131" spans="1:12" ht="15" customHeight="1">
      <c r="A1131" s="234"/>
      <c r="B1131" s="234"/>
      <c r="C1131" s="234"/>
      <c r="D1131" s="237"/>
      <c r="E1131" s="237"/>
      <c r="F1131" s="240"/>
      <c r="G1131" s="109" t="str">
        <f ca="1">IFERROR(__xludf.DUMMYFUNCTION("IF(I1144="""","""",FILTER(DATOS!$D$4:$D$237,DATOS!$B$4:$B$237=I1144))"),"05-002")</f>
        <v>05-002</v>
      </c>
      <c r="H1131" s="109" t="str">
        <f ca="1">IFERROR(__xludf.DUMMYFUNCTION("IF(I1144="""","""",FILTER(DATOS!$C$4:$C$237,DATOS!$B$4:$B$237=I1144))"),"USME")</f>
        <v>USME</v>
      </c>
      <c r="I1131" s="123" t="s">
        <v>102</v>
      </c>
      <c r="J1131" s="121" t="s">
        <v>480</v>
      </c>
      <c r="K1131" s="120">
        <v>1328367.9099999999</v>
      </c>
      <c r="L1131" s="57"/>
    </row>
    <row r="1132" spans="1:12">
      <c r="A1132" s="234"/>
      <c r="B1132" s="234"/>
      <c r="C1132" s="234"/>
      <c r="D1132" s="237"/>
      <c r="E1132" s="237"/>
      <c r="F1132" s="240"/>
      <c r="G1132" s="109" t="str">
        <f ca="1">IFERROR(__xludf.DUMMYFUNCTION("IF(I1145="""","""",FILTER(DATOS!$D$4:$D$237,DATOS!$B$4:$B$237=I1145))"),"05-003")</f>
        <v>05-003</v>
      </c>
      <c r="H1132" s="109" t="str">
        <f ca="1">IFERROR(__xludf.DUMMYFUNCTION("IF(I1145="""","""",FILTER(DATOS!$C$4:$C$237,DATOS!$B$4:$B$237=I1145))"),"USME")</f>
        <v>USME</v>
      </c>
      <c r="I1132" s="123" t="s">
        <v>133</v>
      </c>
      <c r="J1132" s="121" t="s">
        <v>479</v>
      </c>
      <c r="K1132" s="120">
        <v>502870.59</v>
      </c>
      <c r="L1132" s="57"/>
    </row>
    <row r="1133" spans="1:12">
      <c r="A1133" s="234"/>
      <c r="B1133" s="234"/>
      <c r="C1133" s="234"/>
      <c r="D1133" s="237"/>
      <c r="E1133" s="237"/>
      <c r="F1133" s="240"/>
      <c r="G1133" s="109" t="str">
        <f ca="1">IFERROR(__xludf.DUMMYFUNCTION("IF(I1146="""","""",FILTER(DATOS!$D$4:$D$237,DATOS!$B$4:$B$237=I1146))"),"05-087")</f>
        <v>05-087</v>
      </c>
      <c r="H1133" s="109" t="str">
        <f ca="1">IFERROR(__xludf.DUMMYFUNCTION("IF(I1146="""","""",FILTER(DATOS!$C$4:$C$237,DATOS!$B$4:$B$237=I1146))"),"USME")</f>
        <v>USME</v>
      </c>
      <c r="I1133" s="123" t="s">
        <v>135</v>
      </c>
      <c r="J1133" s="121" t="s">
        <v>479</v>
      </c>
      <c r="K1133" s="120">
        <v>500796.8</v>
      </c>
      <c r="L1133" s="57"/>
    </row>
    <row r="1134" spans="1:12" ht="15" customHeight="1">
      <c r="A1134" s="234"/>
      <c r="B1134" s="234"/>
      <c r="C1134" s="234"/>
      <c r="D1134" s="237"/>
      <c r="E1134" s="237"/>
      <c r="F1134" s="240"/>
      <c r="G1134" s="109" t="str">
        <f ca="1">IFERROR(__xludf.DUMMYFUNCTION("IF(I1147="""","""",FILTER(DATOS!$D$4:$D$237,DATOS!$B$4:$B$237=I1147))"),"05-042")</f>
        <v>05-042</v>
      </c>
      <c r="H1134" s="109" t="str">
        <f ca="1">IFERROR(__xludf.DUMMYFUNCTION("IF(I1147="""","""",FILTER(DATOS!$C$4:$C$237,DATOS!$B$4:$B$237=I1147))"),"USME")</f>
        <v>USME</v>
      </c>
      <c r="I1134" s="123" t="s">
        <v>381</v>
      </c>
      <c r="J1134" s="121" t="s">
        <v>480</v>
      </c>
      <c r="K1134" s="120">
        <v>590658.43999999994</v>
      </c>
      <c r="L1134" s="57"/>
    </row>
    <row r="1135" spans="1:12">
      <c r="A1135" s="234"/>
      <c r="B1135" s="234"/>
      <c r="C1135" s="234"/>
      <c r="D1135" s="237"/>
      <c r="E1135" s="237"/>
      <c r="F1135" s="240"/>
      <c r="G1135" s="109" t="str">
        <f ca="1">IFERROR(__xludf.DUMMYFUNCTION("IF(I1148="""","""",FILTER(DATOS!$D$4:$D$237,DATOS!$B$4:$B$237=I1148))"),"05-042")</f>
        <v>05-042</v>
      </c>
      <c r="H1135" s="109" t="str">
        <f ca="1">IFERROR(__xludf.DUMMYFUNCTION("IF(I1148="""","""",FILTER(DATOS!$C$4:$C$237,DATOS!$B$4:$B$237=I1148))"),"USME")</f>
        <v>USME</v>
      </c>
      <c r="I1135" s="123" t="s">
        <v>381</v>
      </c>
      <c r="J1135" s="121" t="s">
        <v>479</v>
      </c>
      <c r="K1135" s="120">
        <v>501734.95</v>
      </c>
      <c r="L1135" s="57"/>
    </row>
    <row r="1136" spans="1:12">
      <c r="A1136" s="234"/>
      <c r="B1136" s="234"/>
      <c r="C1136" s="234"/>
      <c r="D1136" s="237"/>
      <c r="E1136" s="237"/>
      <c r="F1136" s="240"/>
      <c r="G1136" s="109" t="str">
        <f ca="1">IFERROR(__xludf.DUMMYFUNCTION("IF(I1149="""","""",FILTER(DATOS!$D$4:$D$237,DATOS!$B$4:$B$237=I1149))"),"05-141")</f>
        <v>05-141</v>
      </c>
      <c r="H1136" s="109" t="str">
        <f ca="1">IFERROR(__xludf.DUMMYFUNCTION("IF(I1149="""","""",FILTER(DATOS!$C$4:$C$237,DATOS!$B$4:$B$237=I1149))"),"USME")</f>
        <v>USME</v>
      </c>
      <c r="I1136" s="123" t="s">
        <v>380</v>
      </c>
      <c r="J1136" s="121" t="s">
        <v>479</v>
      </c>
      <c r="K1136" s="120">
        <v>501646.07</v>
      </c>
      <c r="L1136" s="57"/>
    </row>
    <row r="1137" spans="1:12">
      <c r="A1137" s="234"/>
      <c r="B1137" s="234"/>
      <c r="C1137" s="234"/>
      <c r="D1137" s="237"/>
      <c r="E1137" s="237"/>
      <c r="F1137" s="240"/>
      <c r="G1137" s="109" t="str">
        <f ca="1">IFERROR(__xludf.DUMMYFUNCTION("IF(I1150="""","""",FILTER(DATOS!$D$4:$D$237,DATOS!$B$4:$B$237=I1150))"),"05-459")</f>
        <v>05-459</v>
      </c>
      <c r="H1137" s="109" t="str">
        <f ca="1">IFERROR(__xludf.DUMMYFUNCTION("IF(I1150="""","""",FILTER(DATOS!$C$4:$C$237,DATOS!$B$4:$B$237=I1150))"),"USME")</f>
        <v>USME</v>
      </c>
      <c r="I1137" s="123" t="s">
        <v>383</v>
      </c>
      <c r="J1137" s="121" t="s">
        <v>479</v>
      </c>
      <c r="K1137" s="120">
        <v>500352.42</v>
      </c>
      <c r="L1137" s="57"/>
    </row>
    <row r="1138" spans="1:12" ht="15" customHeight="1">
      <c r="A1138" s="234"/>
      <c r="B1138" s="234"/>
      <c r="C1138" s="234"/>
      <c r="D1138" s="237"/>
      <c r="E1138" s="237"/>
      <c r="F1138" s="240"/>
      <c r="G1138" s="109" t="str">
        <f ca="1">IFERROR(__xludf.DUMMYFUNCTION("IF(I1151="""","""",FILTER(DATOS!$D$4:$D$237,DATOS!$B$4:$B$237=I1151))"),"18-055")</f>
        <v>18-055</v>
      </c>
      <c r="H1138" s="109" t="str">
        <f ca="1">IFERROR(__xludf.DUMMYFUNCTION("IF(I1151="""","""",FILTER(DATOS!$C$4:$C$237,DATOS!$B$4:$B$237=I1151))"),"RAFAEL URIBE")</f>
        <v>RAFAEL URIBE</v>
      </c>
      <c r="I1138" s="123" t="s">
        <v>352</v>
      </c>
      <c r="J1138" s="121" t="s">
        <v>480</v>
      </c>
      <c r="K1138" s="120">
        <v>1196790.3600000001</v>
      </c>
      <c r="L1138" s="57"/>
    </row>
    <row r="1139" spans="1:12" ht="36">
      <c r="A1139" s="234"/>
      <c r="B1139" s="234"/>
      <c r="C1139" s="234"/>
      <c r="D1139" s="237"/>
      <c r="E1139" s="237"/>
      <c r="F1139" s="240"/>
      <c r="G1139" s="109" t="str">
        <f ca="1">IFERROR(__xludf.DUMMYFUNCTION("IF(I1152="""","""",FILTER(DATOS!$D$4:$D$237,DATOS!$B$4:$B$237=I1152))"),"18-035")</f>
        <v>18-035</v>
      </c>
      <c r="H1139" s="109" t="str">
        <f ca="1">IFERROR(__xludf.DUMMYFUNCTION("IF(I1152="""","""",FILTER(DATOS!$C$4:$C$237,DATOS!$B$4:$B$237=I1152))"),"RAFAEL URIBE")</f>
        <v>RAFAEL URIBE</v>
      </c>
      <c r="I1139" s="123" t="s">
        <v>490</v>
      </c>
      <c r="J1139" s="121" t="s">
        <v>491</v>
      </c>
      <c r="K1139" s="120">
        <v>196397938.34999999</v>
      </c>
      <c r="L1139" s="57"/>
    </row>
    <row r="1140" spans="1:12">
      <c r="A1140" s="234"/>
      <c r="B1140" s="234"/>
      <c r="C1140" s="234"/>
      <c r="D1140" s="237"/>
      <c r="E1140" s="237"/>
      <c r="F1140" s="240"/>
      <c r="G1140" s="109" t="str">
        <f ca="1">IFERROR(__xludf.DUMMYFUNCTION("IF(I1153="""","""",FILTER(DATOS!$D$4:$D$237,DATOS!$B$4:$B$237=I1153))"),"18-041")</f>
        <v>18-041</v>
      </c>
      <c r="H1140" s="109" t="str">
        <f ca="1">IFERROR(__xludf.DUMMYFUNCTION("IF(I1153="""","""",FILTER(DATOS!$C$4:$C$237,DATOS!$B$4:$B$237=I1153))"),"RAFAEL URIBE")</f>
        <v>RAFAEL URIBE</v>
      </c>
      <c r="I1140" s="123" t="s">
        <v>351</v>
      </c>
      <c r="J1140" s="121" t="s">
        <v>479</v>
      </c>
      <c r="K1140" s="120">
        <v>504351.87</v>
      </c>
      <c r="L1140" s="57"/>
    </row>
    <row r="1141" spans="1:12">
      <c r="A1141" s="234"/>
      <c r="B1141" s="234"/>
      <c r="C1141" s="234"/>
      <c r="D1141" s="237"/>
      <c r="E1141" s="237"/>
      <c r="F1141" s="240"/>
      <c r="G1141" s="109" t="str">
        <f ca="1">IFERROR(__xludf.DUMMYFUNCTION("IF(I1154="""","""",FILTER(DATOS!$D$4:$D$237,DATOS!$B$4:$B$237=I1154))"),"06-063")</f>
        <v>06-063</v>
      </c>
      <c r="H1141" s="109" t="str">
        <f ca="1">IFERROR(__xludf.DUMMYFUNCTION("IF(I1154="""","""",FILTER(DATOS!$C$4:$C$237,DATOS!$B$4:$B$237=I1154))"),"TUNJUELITO")</f>
        <v>TUNJUELITO</v>
      </c>
      <c r="I1141" s="123" t="s">
        <v>87</v>
      </c>
      <c r="J1141" s="121" t="s">
        <v>479</v>
      </c>
      <c r="K1141" s="120">
        <v>508899.39</v>
      </c>
      <c r="L1141" s="57"/>
    </row>
    <row r="1142" spans="1:12">
      <c r="A1142" s="234"/>
      <c r="B1142" s="234"/>
      <c r="C1142" s="234"/>
      <c r="D1142" s="237"/>
      <c r="E1142" s="237"/>
      <c r="F1142" s="240"/>
      <c r="G1142" s="109" t="str">
        <f ca="1">IFERROR(__xludf.DUMMYFUNCTION("IF(I1155="""","""",FILTER(DATOS!$D$4:$D$237,DATOS!$B$4:$B$237=I1155))"),"06-063")</f>
        <v>06-063</v>
      </c>
      <c r="H1142" s="109" t="str">
        <f ca="1">IFERROR(__xludf.DUMMYFUNCTION("IF(I1155="""","""",FILTER(DATOS!$C$4:$C$237,DATOS!$B$4:$B$237=I1155))"),"TUNJUELITO")</f>
        <v>TUNJUELITO</v>
      </c>
      <c r="I1142" s="123" t="s">
        <v>87</v>
      </c>
      <c r="J1142" s="121" t="s">
        <v>479</v>
      </c>
      <c r="K1142" s="120">
        <v>508899.39</v>
      </c>
      <c r="L1142" s="57"/>
    </row>
    <row r="1143" spans="1:12">
      <c r="A1143" s="234"/>
      <c r="B1143" s="234"/>
      <c r="C1143" s="234"/>
      <c r="D1143" s="237"/>
      <c r="E1143" s="237"/>
      <c r="F1143" s="240"/>
      <c r="G1143" s="109" t="str">
        <f ca="1">IFERROR(__xludf.DUMMYFUNCTION("IF(I1156="""","""",FILTER(DATOS!$D$4:$D$237,DATOS!$B$4:$B$237=I1156))"),"06-063")</f>
        <v>06-063</v>
      </c>
      <c r="H1143" s="109" t="str">
        <f ca="1">IFERROR(__xludf.DUMMYFUNCTION("IF(I1156="""","""",FILTER(DATOS!$C$4:$C$237,DATOS!$B$4:$B$237=I1156))"),"TUNJUELITO")</f>
        <v>TUNJUELITO</v>
      </c>
      <c r="I1143" s="123" t="s">
        <v>87</v>
      </c>
      <c r="J1143" s="121" t="s">
        <v>479</v>
      </c>
      <c r="K1143" s="120">
        <v>506677.47</v>
      </c>
      <c r="L1143" s="57"/>
    </row>
    <row r="1144" spans="1:12">
      <c r="A1144" s="234"/>
      <c r="B1144" s="234"/>
      <c r="C1144" s="234"/>
      <c r="D1144" s="237"/>
      <c r="E1144" s="237"/>
      <c r="F1144" s="240"/>
      <c r="G1144" s="109" t="str">
        <f ca="1">IFERROR(__xludf.DUMMYFUNCTION("IF(I1157="""","""",FILTER(DATOS!$D$4:$D$237,DATOS!$B$4:$B$237=I1157))"),"06-063")</f>
        <v>06-063</v>
      </c>
      <c r="H1144" s="109" t="str">
        <f ca="1">IFERROR(__xludf.DUMMYFUNCTION("IF(I1157="""","""",FILTER(DATOS!$C$4:$C$237,DATOS!$B$4:$B$237=I1157))"),"TUNJUELITO")</f>
        <v>TUNJUELITO</v>
      </c>
      <c r="I1144" s="123" t="s">
        <v>87</v>
      </c>
      <c r="J1144" s="121" t="s">
        <v>479</v>
      </c>
      <c r="K1144" s="120">
        <v>514276.43</v>
      </c>
      <c r="L1144" s="57"/>
    </row>
    <row r="1145" spans="1:12" ht="15" customHeight="1">
      <c r="A1145" s="234"/>
      <c r="B1145" s="234"/>
      <c r="C1145" s="234"/>
      <c r="D1145" s="237"/>
      <c r="E1145" s="237"/>
      <c r="F1145" s="240"/>
      <c r="G1145" s="109" t="str">
        <f ca="1">IFERROR(__xludf.DUMMYFUNCTION("IF(I1158="""","""",FILTER(DATOS!$D$4:$D$237,DATOS!$B$4:$B$237=I1158))"),"06-017")</f>
        <v>06-017</v>
      </c>
      <c r="H1145" s="109" t="str">
        <f ca="1">IFERROR(__xludf.DUMMYFUNCTION("IF(I1158="""","""",FILTER(DATOS!$C$4:$C$237,DATOS!$B$4:$B$237=I1158))"),"TUNJUELITO")</f>
        <v>TUNJUELITO</v>
      </c>
      <c r="I1145" s="123" t="s">
        <v>117</v>
      </c>
      <c r="J1145" s="121" t="s">
        <v>480</v>
      </c>
      <c r="K1145" s="120">
        <v>1356295.71</v>
      </c>
      <c r="L1145" s="57"/>
    </row>
    <row r="1146" spans="1:12">
      <c r="A1146" s="234"/>
      <c r="B1146" s="234"/>
      <c r="C1146" s="234"/>
      <c r="D1146" s="237"/>
      <c r="E1146" s="237"/>
      <c r="F1146" s="240"/>
      <c r="G1146" s="109" t="str">
        <f ca="1">IFERROR(__xludf.DUMMYFUNCTION("IF(I1159="""","""",FILTER(DATOS!$D$4:$D$237,DATOS!$B$4:$B$237=I1159))"),"18-073")</f>
        <v>18-073</v>
      </c>
      <c r="H1146" s="109" t="str">
        <f ca="1">IFERROR(__xludf.DUMMYFUNCTION("IF(I1159="""","""",FILTER(DATOS!$C$4:$C$237,DATOS!$B$4:$B$237=I1159))"),"RAFAEL URIBE")</f>
        <v>RAFAEL URIBE</v>
      </c>
      <c r="I1146" s="123" t="s">
        <v>126</v>
      </c>
      <c r="J1146" s="121" t="s">
        <v>479</v>
      </c>
      <c r="K1146" s="120">
        <v>506647.85</v>
      </c>
      <c r="L1146" s="57"/>
    </row>
    <row r="1147" spans="1:12">
      <c r="A1147" s="234"/>
      <c r="B1147" s="234"/>
      <c r="C1147" s="234"/>
      <c r="D1147" s="237"/>
      <c r="E1147" s="237"/>
      <c r="F1147" s="240"/>
      <c r="G1147" s="109" t="str">
        <f ca="1">IFERROR(__xludf.DUMMYFUNCTION("IF(I1160="""","""",FILTER(DATOS!$D$4:$D$237,DATOS!$B$4:$B$237=I1160))"),"18-073")</f>
        <v>18-073</v>
      </c>
      <c r="H1147" s="109" t="str">
        <f ca="1">IFERROR(__xludf.DUMMYFUNCTION("IF(I1160="""","""",FILTER(DATOS!$C$4:$C$237,DATOS!$B$4:$B$237=I1160))"),"RAFAEL URIBE")</f>
        <v>RAFAEL URIBE</v>
      </c>
      <c r="I1147" s="123" t="s">
        <v>126</v>
      </c>
      <c r="J1147" s="121" t="s">
        <v>479</v>
      </c>
      <c r="K1147" s="120">
        <v>509314.15</v>
      </c>
      <c r="L1147" s="57"/>
    </row>
    <row r="1148" spans="1:12">
      <c r="A1148" s="234"/>
      <c r="B1148" s="234"/>
      <c r="C1148" s="234"/>
      <c r="D1148" s="237"/>
      <c r="E1148" s="237"/>
      <c r="F1148" s="240"/>
      <c r="G1148" s="109" t="str">
        <f ca="1">IFERROR(__xludf.DUMMYFUNCTION("IF(I1161="""","""",FILTER(DATOS!$D$4:$D$237,DATOS!$B$4:$B$237=I1161))"),"06-012")</f>
        <v>06-012</v>
      </c>
      <c r="H1148" s="109" t="str">
        <f ca="1">IFERROR(__xludf.DUMMYFUNCTION("IF(I1161="""","""",FILTER(DATOS!$C$4:$C$237,DATOS!$B$4:$B$237=I1161))"),"TUNJUELITO")</f>
        <v>TUNJUELITO</v>
      </c>
      <c r="I1148" s="123" t="s">
        <v>374</v>
      </c>
      <c r="J1148" s="121" t="s">
        <v>479</v>
      </c>
      <c r="K1148" s="120">
        <v>512943.28</v>
      </c>
      <c r="L1148" s="57"/>
    </row>
    <row r="1149" spans="1:12">
      <c r="A1149" s="234"/>
      <c r="B1149" s="234"/>
      <c r="C1149" s="234"/>
      <c r="D1149" s="237"/>
      <c r="E1149" s="237"/>
      <c r="F1149" s="240"/>
      <c r="G1149" s="109" t="str">
        <f ca="1">IFERROR(__xludf.DUMMYFUNCTION("IF(I1162="""","""",FILTER(DATOS!$D$4:$D$237,DATOS!$B$4:$B$237=I1162))"),"05-476")</f>
        <v>05-476</v>
      </c>
      <c r="H1149" s="109" t="str">
        <f ca="1">IFERROR(__xludf.DUMMYFUNCTION("IF(I1162="""","""",FILTER(DATOS!$C$4:$C$237,DATOS!$B$4:$B$237=I1162))"),"USME")</f>
        <v>USME</v>
      </c>
      <c r="I1149" s="123" t="s">
        <v>382</v>
      </c>
      <c r="J1149" s="121" t="s">
        <v>479</v>
      </c>
      <c r="K1149" s="120">
        <v>500204.29</v>
      </c>
      <c r="L1149" s="57"/>
    </row>
    <row r="1150" spans="1:12">
      <c r="A1150" s="234"/>
      <c r="B1150" s="234"/>
      <c r="C1150" s="234"/>
      <c r="D1150" s="237"/>
      <c r="E1150" s="237"/>
      <c r="F1150" s="240"/>
      <c r="G1150" s="109" t="str">
        <f ca="1">IFERROR(__xludf.DUMMYFUNCTION("IF(I1163="""","""",FILTER(DATOS!$D$4:$D$237,DATOS!$B$4:$B$237=I1163))"),"05-476")</f>
        <v>05-476</v>
      </c>
      <c r="H1150" s="109" t="str">
        <f ca="1">IFERROR(__xludf.DUMMYFUNCTION("IF(I1163="""","""",FILTER(DATOS!$C$4:$C$237,DATOS!$B$4:$B$237=I1163))"),"USME")</f>
        <v>USME</v>
      </c>
      <c r="I1150" s="123" t="s">
        <v>382</v>
      </c>
      <c r="J1150" s="121" t="s">
        <v>479</v>
      </c>
      <c r="K1150" s="120">
        <v>499315.53</v>
      </c>
      <c r="L1150" s="57"/>
    </row>
    <row r="1151" spans="1:12">
      <c r="A1151" s="234"/>
      <c r="B1151" s="234"/>
      <c r="C1151" s="234"/>
      <c r="D1151" s="237"/>
      <c r="E1151" s="237"/>
      <c r="F1151" s="240"/>
      <c r="G1151" s="109" t="str">
        <f ca="1">IFERROR(__xludf.DUMMYFUNCTION("IF(I1164="""","""",FILTER(DATOS!$D$4:$D$237,DATOS!$B$4:$B$237=I1164))"),"19-756")</f>
        <v>19-756</v>
      </c>
      <c r="H1151" s="109" t="str">
        <f ca="1">IFERROR(__xludf.DUMMYFUNCTION("IF(I1164="""","""",FILTER(DATOS!$C$4:$C$237,DATOS!$B$4:$B$237=I1164))"),"CIUDAD BOLIVAR")</f>
        <v>CIUDAD BOLIVAR</v>
      </c>
      <c r="I1151" s="123" t="s">
        <v>71</v>
      </c>
      <c r="J1151" s="121" t="s">
        <v>479</v>
      </c>
      <c r="K1151" s="120">
        <v>499759.91</v>
      </c>
      <c r="L1151" s="57"/>
    </row>
    <row r="1152" spans="1:12">
      <c r="A1152" s="234"/>
      <c r="B1152" s="234"/>
      <c r="C1152" s="234"/>
      <c r="D1152" s="237"/>
      <c r="E1152" s="237"/>
      <c r="F1152" s="240"/>
      <c r="G1152" s="109" t="str">
        <f ca="1">IFERROR(__xludf.DUMMYFUNCTION("IF(I1165="""","""",FILTER(DATOS!$D$4:$D$237,DATOS!$B$4:$B$237=I1165))"),"19-756")</f>
        <v>19-756</v>
      </c>
      <c r="H1152" s="109" t="str">
        <f ca="1">IFERROR(__xludf.DUMMYFUNCTION("IF(I1165="""","""",FILTER(DATOS!$C$4:$C$237,DATOS!$B$4:$B$237=I1165))"),"CIUDAD BOLIVAR")</f>
        <v>CIUDAD BOLIVAR</v>
      </c>
      <c r="I1152" s="123" t="s">
        <v>71</v>
      </c>
      <c r="J1152" s="121" t="s">
        <v>479</v>
      </c>
      <c r="K1152" s="120">
        <v>499759.91</v>
      </c>
      <c r="L1152" s="57"/>
    </row>
    <row r="1153" spans="1:12" ht="15" customHeight="1">
      <c r="A1153" s="234"/>
      <c r="B1153" s="234"/>
      <c r="C1153" s="234"/>
      <c r="D1153" s="237"/>
      <c r="E1153" s="237"/>
      <c r="F1153" s="240"/>
      <c r="G1153" s="109" t="str">
        <f ca="1">IFERROR(__xludf.DUMMYFUNCTION("IF(I1166="""","""",FILTER(DATOS!$D$4:$D$237,DATOS!$B$4:$B$237=I1166))"),"19-346")</f>
        <v>19-346</v>
      </c>
      <c r="H1153" s="109" t="str">
        <f ca="1">IFERROR(__xludf.DUMMYFUNCTION("IF(I1166="""","""",FILTER(DATOS!$C$4:$C$237,DATOS!$B$4:$B$237=I1166))"),"CIUDAD BOLIVAR")</f>
        <v>CIUDAD BOLIVAR</v>
      </c>
      <c r="I1153" s="123" t="s">
        <v>99</v>
      </c>
      <c r="J1153" s="121" t="s">
        <v>480</v>
      </c>
      <c r="K1153" s="120">
        <v>1053464.6599999999</v>
      </c>
      <c r="L1153" s="57"/>
    </row>
    <row r="1154" spans="1:12">
      <c r="A1154" s="234"/>
      <c r="B1154" s="234"/>
      <c r="C1154" s="234"/>
      <c r="D1154" s="237"/>
      <c r="E1154" s="237"/>
      <c r="F1154" s="240"/>
      <c r="G1154" s="109" t="str">
        <f ca="1">IFERROR(__xludf.DUMMYFUNCTION("IF(I1167="""","""",FILTER(DATOS!$D$4:$D$237,DATOS!$B$4:$B$237=I1167))"),"19-346")</f>
        <v>19-346</v>
      </c>
      <c r="H1154" s="109" t="str">
        <f ca="1">IFERROR(__xludf.DUMMYFUNCTION("IF(I1167="""","""",FILTER(DATOS!$C$4:$C$237,DATOS!$B$4:$B$237=I1167))"),"CIUDAD BOLIVAR")</f>
        <v>CIUDAD BOLIVAR</v>
      </c>
      <c r="I1154" s="123" t="s">
        <v>99</v>
      </c>
      <c r="J1154" s="121" t="s">
        <v>479</v>
      </c>
      <c r="K1154" s="120">
        <v>500352.42</v>
      </c>
      <c r="L1154" s="57"/>
    </row>
    <row r="1155" spans="1:12">
      <c r="A1155" s="234"/>
      <c r="B1155" s="234"/>
      <c r="C1155" s="234"/>
      <c r="D1155" s="237"/>
      <c r="E1155" s="237"/>
      <c r="F1155" s="240"/>
      <c r="G1155" s="109" t="str">
        <f ca="1">IFERROR(__xludf.DUMMYFUNCTION("IF(I1168="""","""",FILTER(DATOS!$D$4:$D$237,DATOS!$B$4:$B$237=I1168))"),"19-788")</f>
        <v>19-788</v>
      </c>
      <c r="H1155" s="109" t="str">
        <f ca="1">IFERROR(__xludf.DUMMYFUNCTION("IF(I1168="""","""",FILTER(DATOS!$C$4:$C$237,DATOS!$B$4:$B$237=I1168))"),"CIUDAD BOLIVAR")</f>
        <v>CIUDAD BOLIVAR</v>
      </c>
      <c r="I1155" s="123" t="s">
        <v>139</v>
      </c>
      <c r="J1155" s="121" t="s">
        <v>479</v>
      </c>
      <c r="K1155" s="120">
        <v>500352.42</v>
      </c>
      <c r="L1155" s="57"/>
    </row>
    <row r="1156" spans="1:12">
      <c r="A1156" s="234"/>
      <c r="B1156" s="234"/>
      <c r="C1156" s="234"/>
      <c r="D1156" s="237"/>
      <c r="E1156" s="237"/>
      <c r="F1156" s="240"/>
      <c r="G1156" s="109" t="str">
        <f ca="1">IFERROR(__xludf.DUMMYFUNCTION("IF(I1169="""","""",FILTER(DATOS!$D$4:$D$237,DATOS!$B$4:$B$237=I1169))"),"19-348")</f>
        <v>19-348</v>
      </c>
      <c r="H1156" s="109" t="str">
        <f ca="1">IFERROR(__xludf.DUMMYFUNCTION("IF(I1169="""","""",FILTER(DATOS!$C$4:$C$237,DATOS!$B$4:$B$237=I1169))"),"CIUDAD BOLIVAR")</f>
        <v>CIUDAD BOLIVAR</v>
      </c>
      <c r="I1156" s="123" t="s">
        <v>128</v>
      </c>
      <c r="J1156" s="121" t="s">
        <v>479</v>
      </c>
      <c r="K1156" s="120">
        <v>504277.81</v>
      </c>
      <c r="L1156" s="57"/>
    </row>
    <row r="1157" spans="1:12">
      <c r="A1157" s="234"/>
      <c r="B1157" s="234"/>
      <c r="C1157" s="234"/>
      <c r="D1157" s="237"/>
      <c r="E1157" s="237"/>
      <c r="F1157" s="240"/>
      <c r="G1157" s="109" t="str">
        <f ca="1">IFERROR(__xludf.DUMMYFUNCTION("IF(I1170="""","""",FILTER(DATOS!$D$4:$D$237,DATOS!$B$4:$B$237=I1170))"),"19-231")</f>
        <v>19-231</v>
      </c>
      <c r="H1157" s="109" t="str">
        <f ca="1">IFERROR(__xludf.DUMMYFUNCTION("IF(I1170="""","""",FILTER(DATOS!$C$4:$C$237,DATOS!$B$4:$B$237=I1170))"),"CIUDAD BOLIVAR")</f>
        <v>CIUDAD BOLIVAR</v>
      </c>
      <c r="I1157" s="123" t="s">
        <v>104</v>
      </c>
      <c r="J1157" s="121" t="s">
        <v>479</v>
      </c>
      <c r="K1157" s="120">
        <v>503463.1</v>
      </c>
      <c r="L1157" s="57"/>
    </row>
    <row r="1158" spans="1:12">
      <c r="A1158" s="234"/>
      <c r="B1158" s="234"/>
      <c r="C1158" s="234"/>
      <c r="D1158" s="237"/>
      <c r="E1158" s="237"/>
      <c r="F1158" s="240"/>
      <c r="G1158" s="109" t="str">
        <f ca="1">IFERROR(__xludf.DUMMYFUNCTION("IF(I1171="""","""",FILTER(DATOS!$D$4:$D$237,DATOS!$B$4:$B$237=I1171))"),"19-490")</f>
        <v>19-490</v>
      </c>
      <c r="H1158" s="109" t="str">
        <f ca="1">IFERROR(__xludf.DUMMYFUNCTION("IF(I1171="""","""",FILTER(DATOS!$C$4:$C$237,DATOS!$B$4:$B$237=I1171))"),"CIUDAD BOLIVAR")</f>
        <v>CIUDAD BOLIVAR</v>
      </c>
      <c r="I1158" s="123" t="s">
        <v>329</v>
      </c>
      <c r="J1158" s="121" t="s">
        <v>479</v>
      </c>
      <c r="K1158" s="120">
        <v>498278.63</v>
      </c>
      <c r="L1158" s="57"/>
    </row>
    <row r="1159" spans="1:12">
      <c r="A1159" s="234"/>
      <c r="B1159" s="234"/>
      <c r="C1159" s="234"/>
      <c r="D1159" s="237"/>
      <c r="E1159" s="237"/>
      <c r="F1159" s="240"/>
      <c r="G1159" s="109" t="str">
        <f ca="1">IFERROR(__xludf.DUMMYFUNCTION("IF(I1172="""","""",FILTER(DATOS!$D$4:$D$237,DATOS!$B$4:$B$237=I1172))"),"19-349")</f>
        <v>19-349</v>
      </c>
      <c r="H1159" s="109" t="str">
        <f ca="1">IFERROR(__xludf.DUMMYFUNCTION("IF(I1172="""","""",FILTER(DATOS!$C$4:$C$237,DATOS!$B$4:$B$237=I1172))"),"CIUDAD BOLIVAR")</f>
        <v>CIUDAD BOLIVAR</v>
      </c>
      <c r="I1159" s="123" t="s">
        <v>235</v>
      </c>
      <c r="J1159" s="121" t="s">
        <v>479</v>
      </c>
      <c r="K1159" s="120">
        <v>501833.7</v>
      </c>
      <c r="L1159" s="57"/>
    </row>
    <row r="1160" spans="1:12">
      <c r="A1160" s="234"/>
      <c r="B1160" s="234"/>
      <c r="C1160" s="234"/>
      <c r="D1160" s="237"/>
      <c r="E1160" s="237"/>
      <c r="F1160" s="240"/>
      <c r="G1160" s="109" t="str">
        <f ca="1">IFERROR(__xludf.DUMMYFUNCTION("IF(I1173="""","""",FILTER(DATOS!$D$4:$D$237,DATOS!$B$4:$B$237=I1173))"),"19-032")</f>
        <v>19-032</v>
      </c>
      <c r="H1160" s="109" t="str">
        <f ca="1">IFERROR(__xludf.DUMMYFUNCTION("IF(I1173="""","""",FILTER(DATOS!$C$4:$C$237,DATOS!$B$4:$B$237=I1173))"),"CIUDAD BOLIVAR")</f>
        <v>CIUDAD BOLIVAR</v>
      </c>
      <c r="I1160" s="123" t="s">
        <v>328</v>
      </c>
      <c r="J1160" s="121" t="s">
        <v>479</v>
      </c>
      <c r="K1160" s="120">
        <v>498278.63</v>
      </c>
      <c r="L1160" s="57"/>
    </row>
    <row r="1161" spans="1:12">
      <c r="A1161" s="234"/>
      <c r="B1161" s="234"/>
      <c r="C1161" s="234"/>
      <c r="D1161" s="237"/>
      <c r="E1161" s="237"/>
      <c r="F1161" s="240"/>
      <c r="G1161" s="124" t="str">
        <f ca="1">IFERROR(__xludf.DUMMYFUNCTION("IF(I1174="""","""",FILTER(DATOS!$D$4:$D$237,DATOS!$B$4:$B$237=I1174))"),"19-188")</f>
        <v>19-188</v>
      </c>
      <c r="H1161" s="109" t="str">
        <f ca="1">IFERROR(__xludf.DUMMYFUNCTION("IF(I1174="""","""",FILTER(DATOS!$C$4:$C$237,DATOS!$B$4:$B$237=I1174))"),"CIUDAD BOLIVAR")</f>
        <v>CIUDAD BOLIVAR</v>
      </c>
      <c r="I1161" s="123" t="s">
        <v>72</v>
      </c>
      <c r="J1161" s="121" t="s">
        <v>479</v>
      </c>
      <c r="K1161" s="120">
        <v>498278.63</v>
      </c>
      <c r="L1161" s="57"/>
    </row>
    <row r="1162" spans="1:12">
      <c r="A1162" s="234"/>
      <c r="B1162" s="234"/>
      <c r="C1162" s="234"/>
      <c r="D1162" s="237"/>
      <c r="E1162" s="237"/>
      <c r="F1162" s="240"/>
      <c r="G1162" s="109" t="str">
        <f ca="1">IFERROR(__xludf.DUMMYFUNCTION("IF(I1175="""","""",FILTER(DATOS!$D$4:$D$237,DATOS!$B$4:$B$237=I1175))"),"19-710")</f>
        <v>19-710</v>
      </c>
      <c r="H1162" s="109" t="str">
        <f ca="1">IFERROR(__xludf.DUMMYFUNCTION("IF(I1175="""","""",FILTER(DATOS!$C$4:$C$237,DATOS!$B$4:$B$237=I1175))"),"CIUDAD BOLIVAR")</f>
        <v>CIUDAD BOLIVAR</v>
      </c>
      <c r="I1162" s="123" t="s">
        <v>327</v>
      </c>
      <c r="J1162" s="121" t="s">
        <v>479</v>
      </c>
      <c r="K1162" s="120">
        <v>500722.74</v>
      </c>
      <c r="L1162" s="57"/>
    </row>
    <row r="1163" spans="1:12">
      <c r="A1163" s="234"/>
      <c r="B1163" s="234"/>
      <c r="C1163" s="234"/>
      <c r="D1163" s="237"/>
      <c r="E1163" s="237"/>
      <c r="F1163" s="240"/>
      <c r="G1163" s="109" t="str">
        <f ca="1">IFERROR(__xludf.DUMMYFUNCTION("IF(I1176="""","""",FILTER(DATOS!$D$4:$D$237,DATOS!$B$4:$B$237=I1176))"),"19-750")</f>
        <v>19-750</v>
      </c>
      <c r="H1163" s="109" t="str">
        <f ca="1">IFERROR(__xludf.DUMMYFUNCTION("IF(I1176="""","""",FILTER(DATOS!$C$4:$C$237,DATOS!$B$4:$B$237=I1176))"),"CIUDAD BOLIVAR")</f>
        <v>CIUDAD BOLIVAR</v>
      </c>
      <c r="I1163" s="123" t="s">
        <v>326</v>
      </c>
      <c r="J1163" s="121" t="s">
        <v>479</v>
      </c>
      <c r="K1163" s="120">
        <v>502129.95</v>
      </c>
      <c r="L1163" s="57"/>
    </row>
    <row r="1164" spans="1:12">
      <c r="A1164" s="234"/>
      <c r="B1164" s="234"/>
      <c r="C1164" s="234"/>
      <c r="D1164" s="237"/>
      <c r="E1164" s="237"/>
      <c r="F1164" s="240"/>
      <c r="G1164" s="109" t="str">
        <f ca="1">IFERROR(__xludf.DUMMYFUNCTION("IF(I1177="""","""",FILTER(DATOS!$D$4:$D$237,DATOS!$B$4:$B$237=I1177))"),"04-122")</f>
        <v>04-122</v>
      </c>
      <c r="H1164" s="109" t="str">
        <f ca="1">IFERROR(__xludf.DUMMYFUNCTION("IF(I1177="""","""",FILTER(DATOS!$C$4:$C$237,DATOS!$B$4:$B$237=I1177))"),"SAN CRISTOBAL")</f>
        <v>SAN CRISTOBAL</v>
      </c>
      <c r="I1164" s="123" t="s">
        <v>108</v>
      </c>
      <c r="J1164" s="121" t="s">
        <v>479</v>
      </c>
      <c r="K1164" s="120">
        <v>499463.65</v>
      </c>
      <c r="L1164" s="57"/>
    </row>
    <row r="1165" spans="1:12">
      <c r="A1165" s="234"/>
      <c r="B1165" s="234"/>
      <c r="C1165" s="234"/>
      <c r="D1165" s="237"/>
      <c r="E1165" s="237"/>
      <c r="F1165" s="240"/>
      <c r="G1165" s="109" t="str">
        <f ca="1">IFERROR(__xludf.DUMMYFUNCTION("IF(I1178="""","""",FILTER(DATOS!$D$4:$D$237,DATOS!$B$4:$B$237=I1178))"),"04-122")</f>
        <v>04-122</v>
      </c>
      <c r="H1165" s="109" t="str">
        <f ca="1">IFERROR(__xludf.DUMMYFUNCTION("IF(I1178="""","""",FILTER(DATOS!$C$4:$C$237,DATOS!$B$4:$B$237=I1178))"),"SAN CRISTOBAL")</f>
        <v>SAN CRISTOBAL</v>
      </c>
      <c r="I1165" s="123" t="s">
        <v>108</v>
      </c>
      <c r="J1165" s="121" t="s">
        <v>479</v>
      </c>
      <c r="K1165" s="120">
        <v>499463.65</v>
      </c>
      <c r="L1165" s="57"/>
    </row>
    <row r="1166" spans="1:12">
      <c r="A1166" s="234"/>
      <c r="B1166" s="234"/>
      <c r="C1166" s="234"/>
      <c r="D1166" s="237"/>
      <c r="E1166" s="237"/>
      <c r="F1166" s="240"/>
      <c r="G1166" s="109" t="str">
        <f ca="1">IFERROR(__xludf.DUMMYFUNCTION("IF(I1179="""","""",FILTER(DATOS!$D$4:$D$237,DATOS!$B$4:$B$237=I1179))"),"04-127")</f>
        <v>04-127</v>
      </c>
      <c r="H1166" s="109" t="str">
        <f ca="1">IFERROR(__xludf.DUMMYFUNCTION("IF(I1179="""","""",FILTER(DATOS!$C$4:$C$237,DATOS!$B$4:$B$237=I1179))"),"SAN CRISTOBAL")</f>
        <v>SAN CRISTOBAL</v>
      </c>
      <c r="I1166" s="123" t="s">
        <v>123</v>
      </c>
      <c r="J1166" s="121" t="s">
        <v>479</v>
      </c>
      <c r="K1166" s="120">
        <v>514098.68</v>
      </c>
      <c r="L1166" s="57"/>
    </row>
    <row r="1167" spans="1:12">
      <c r="A1167" s="234"/>
      <c r="B1167" s="234"/>
      <c r="C1167" s="234"/>
      <c r="D1167" s="237"/>
      <c r="E1167" s="237"/>
      <c r="F1167" s="240"/>
      <c r="G1167" s="109" t="str">
        <f ca="1">IFERROR(__xludf.DUMMYFUNCTION("IF(I1180="""","""",FILTER(DATOS!$D$4:$D$237,DATOS!$B$4:$B$237=I1180))"),"04-127")</f>
        <v>04-127</v>
      </c>
      <c r="H1167" s="109" t="str">
        <f ca="1">IFERROR(__xludf.DUMMYFUNCTION("IF(I1180="""","""",FILTER(DATOS!$C$4:$C$237,DATOS!$B$4:$B$237=I1180))"),"SAN CRISTOBAL")</f>
        <v>SAN CRISTOBAL</v>
      </c>
      <c r="I1167" s="123" t="s">
        <v>123</v>
      </c>
      <c r="J1167" s="121" t="s">
        <v>479</v>
      </c>
      <c r="K1167" s="120">
        <v>517046.42</v>
      </c>
      <c r="L1167" s="57"/>
    </row>
    <row r="1168" spans="1:12">
      <c r="A1168" s="234"/>
      <c r="B1168" s="234"/>
      <c r="C1168" s="234"/>
      <c r="D1168" s="237"/>
      <c r="E1168" s="237"/>
      <c r="F1168" s="240"/>
      <c r="G1168" s="109" t="str">
        <f ca="1">IFERROR(__xludf.DUMMYFUNCTION("IF(I1181="""","""",FILTER(DATOS!$D$4:$D$237,DATOS!$B$4:$B$237=I1181))"),"04-038")</f>
        <v>04-038</v>
      </c>
      <c r="H1168" s="109" t="str">
        <f ca="1">IFERROR(__xludf.DUMMYFUNCTION("IF(I1181="""","""",FILTER(DATOS!$C$4:$C$237,DATOS!$B$4:$B$237=I1181))"),"SAN CRISTOBAL")</f>
        <v>SAN CRISTOBAL</v>
      </c>
      <c r="I1168" s="123" t="s">
        <v>355</v>
      </c>
      <c r="J1168" s="121" t="s">
        <v>479</v>
      </c>
      <c r="K1168" s="120">
        <v>498871.14</v>
      </c>
      <c r="L1168" s="57"/>
    </row>
    <row r="1169" spans="1:12">
      <c r="A1169" s="234"/>
      <c r="B1169" s="234"/>
      <c r="C1169" s="234"/>
      <c r="D1169" s="237"/>
      <c r="E1169" s="237"/>
      <c r="F1169" s="240"/>
      <c r="G1169" s="109" t="str">
        <f ca="1">IFERROR(__xludf.DUMMYFUNCTION("IF(I1182="""","""",FILTER(DATOS!$D$4:$D$237,DATOS!$B$4:$B$237=I1182))"),"07-035")</f>
        <v>07-035</v>
      </c>
      <c r="H1169" s="109" t="str">
        <f ca="1">IFERROR(__xludf.DUMMYFUNCTION("IF(I1182="""","""",FILTER(DATOS!$C$4:$C$237,DATOS!$B$4:$B$237=I1182))"),"BOSA")</f>
        <v>BOSA</v>
      </c>
      <c r="I1169" s="123" t="s">
        <v>116</v>
      </c>
      <c r="J1169" s="121" t="s">
        <v>492</v>
      </c>
      <c r="K1169" s="120">
        <v>530503.53</v>
      </c>
      <c r="L1169" s="57"/>
    </row>
    <row r="1170" spans="1:12">
      <c r="A1170" s="234"/>
      <c r="B1170" s="234"/>
      <c r="C1170" s="234"/>
      <c r="D1170" s="237"/>
      <c r="E1170" s="237"/>
      <c r="F1170" s="240"/>
      <c r="G1170" s="109" t="str">
        <f ca="1">IFERROR(__xludf.DUMMYFUNCTION("IF(I1183="""","""",FILTER(DATOS!$D$4:$D$237,DATOS!$B$4:$B$237=I1183))"),"07-036")</f>
        <v>07-036</v>
      </c>
      <c r="H1170" s="109" t="str">
        <f ca="1">IFERROR(__xludf.DUMMYFUNCTION("IF(I1183="""","""",FILTER(DATOS!$C$4:$C$237,DATOS!$B$4:$B$237=I1183))"),"BOSA")</f>
        <v>BOSA</v>
      </c>
      <c r="I1170" s="123" t="s">
        <v>131</v>
      </c>
      <c r="J1170" s="121" t="s">
        <v>479</v>
      </c>
      <c r="K1170" s="120">
        <v>520497.79</v>
      </c>
      <c r="L1170" s="57"/>
    </row>
    <row r="1171" spans="1:12">
      <c r="A1171" s="234"/>
      <c r="B1171" s="234"/>
      <c r="C1171" s="234"/>
      <c r="D1171" s="237"/>
      <c r="E1171" s="237"/>
      <c r="F1171" s="240"/>
      <c r="G1171" s="109" t="str">
        <f ca="1">IFERROR(__xludf.DUMMYFUNCTION("IF(I1184="""","""",FILTER(DATOS!$D$4:$D$237,DATOS!$B$4:$B$237=I1184))"),"07-260")</f>
        <v>07-260</v>
      </c>
      <c r="H1171" s="109" t="str">
        <f ca="1">IFERROR(__xludf.DUMMYFUNCTION("IF(I1184="""","""",FILTER(DATOS!$C$4:$C$237,DATOS!$B$4:$B$237=I1184))"),"BOSA")</f>
        <v>BOSA</v>
      </c>
      <c r="I1171" s="123" t="s">
        <v>84</v>
      </c>
      <c r="J1171" s="121" t="s">
        <v>479</v>
      </c>
      <c r="K1171" s="120">
        <v>512202.64</v>
      </c>
      <c r="L1171" s="57"/>
    </row>
    <row r="1172" spans="1:12">
      <c r="A1172" s="234"/>
      <c r="B1172" s="234"/>
      <c r="C1172" s="234"/>
      <c r="D1172" s="237"/>
      <c r="E1172" s="237"/>
      <c r="F1172" s="240"/>
      <c r="G1172" s="109" t="str">
        <f ca="1">IFERROR(__xludf.DUMMYFUNCTION("IF(I1185="""","""",FILTER(DATOS!$D$4:$D$237,DATOS!$B$4:$B$237=I1185))"),"07-274")</f>
        <v>07-274</v>
      </c>
      <c r="H1172" s="109" t="str">
        <f ca="1">IFERROR(__xludf.DUMMYFUNCTION("IF(I1185="""","""",FILTER(DATOS!$C$4:$C$237,DATOS!$B$4:$B$237=I1185))"),"BOSA")</f>
        <v>BOSA</v>
      </c>
      <c r="I1172" s="123" t="s">
        <v>130</v>
      </c>
      <c r="J1172" s="121" t="s">
        <v>479</v>
      </c>
      <c r="K1172" s="120">
        <v>512202.64</v>
      </c>
      <c r="L1172" s="57"/>
    </row>
    <row r="1173" spans="1:12">
      <c r="A1173" s="234"/>
      <c r="B1173" s="234"/>
      <c r="C1173" s="234"/>
      <c r="D1173" s="237"/>
      <c r="E1173" s="237"/>
      <c r="F1173" s="240"/>
      <c r="G1173" s="109" t="str">
        <f ca="1">IFERROR(__xludf.DUMMYFUNCTION("IF(I1186="""","""",FILTER(DATOS!$D$4:$D$237,DATOS!$B$4:$B$237=I1186))"),"07-391")</f>
        <v>07-391</v>
      </c>
      <c r="H1173" s="109" t="str">
        <f ca="1">IFERROR(__xludf.DUMMYFUNCTION("IF(I1186="""","""",FILTER(DATOS!$C$4:$C$237,DATOS!$B$4:$B$237=I1186))"),"BOSA")</f>
        <v>BOSA</v>
      </c>
      <c r="I1173" s="123" t="s">
        <v>119</v>
      </c>
      <c r="J1173" s="121" t="s">
        <v>479</v>
      </c>
      <c r="K1173" s="120">
        <v>504796.25</v>
      </c>
      <c r="L1173" s="57"/>
    </row>
    <row r="1174" spans="1:12">
      <c r="A1174" s="234"/>
      <c r="B1174" s="234"/>
      <c r="C1174" s="234"/>
      <c r="D1174" s="237"/>
      <c r="E1174" s="237"/>
      <c r="F1174" s="240"/>
      <c r="G1174" s="109" t="str">
        <f ca="1">IFERROR(__xludf.DUMMYFUNCTION("IF(I1187="""","""",FILTER(DATOS!$D$4:$D$237,DATOS!$B$4:$B$237=I1187))"),"07-391")</f>
        <v>07-391</v>
      </c>
      <c r="H1174" s="109" t="str">
        <f ca="1">IFERROR(__xludf.DUMMYFUNCTION("IF(I1187="""","""",FILTER(DATOS!$C$4:$C$237,DATOS!$B$4:$B$237=I1187))"),"BOSA")</f>
        <v>BOSA</v>
      </c>
      <c r="I1174" s="123" t="s">
        <v>119</v>
      </c>
      <c r="J1174" s="121" t="s">
        <v>479</v>
      </c>
      <c r="K1174" s="120">
        <v>504796.25</v>
      </c>
      <c r="L1174" s="57"/>
    </row>
    <row r="1175" spans="1:12">
      <c r="A1175" s="234"/>
      <c r="B1175" s="234"/>
      <c r="C1175" s="234"/>
      <c r="D1175" s="237"/>
      <c r="E1175" s="237"/>
      <c r="F1175" s="240"/>
      <c r="G1175" s="109" t="str">
        <f ca="1">IFERROR(__xludf.DUMMYFUNCTION("IF(I1188="""","""",FILTER(DATOS!$D$4:$D$237,DATOS!$B$4:$B$237=I1188))"),"07-391")</f>
        <v>07-391</v>
      </c>
      <c r="H1175" s="109" t="str">
        <f ca="1">IFERROR(__xludf.DUMMYFUNCTION("IF(I1188="""","""",FILTER(DATOS!$C$4:$C$237,DATOS!$B$4:$B$237=I1188))"),"BOSA")</f>
        <v>BOSA</v>
      </c>
      <c r="I1175" s="123" t="s">
        <v>119</v>
      </c>
      <c r="J1175" s="121" t="s">
        <v>479</v>
      </c>
      <c r="K1175" s="120">
        <v>504796.25</v>
      </c>
      <c r="L1175" s="57"/>
    </row>
    <row r="1176" spans="1:12">
      <c r="A1176" s="234"/>
      <c r="B1176" s="234"/>
      <c r="C1176" s="234"/>
      <c r="D1176" s="237"/>
      <c r="E1176" s="237"/>
      <c r="F1176" s="240"/>
      <c r="G1176" s="109" t="str">
        <f ca="1">IFERROR(__xludf.DUMMYFUNCTION("IF(I1189="""","""",FILTER(DATOS!$D$4:$D$237,DATOS!$B$4:$B$237=I1189))"),"07-391")</f>
        <v>07-391</v>
      </c>
      <c r="H1176" s="109" t="str">
        <f ca="1">IFERROR(__xludf.DUMMYFUNCTION("IF(I1189="""","""",FILTER(DATOS!$C$4:$C$237,DATOS!$B$4:$B$237=I1189))"),"BOSA")</f>
        <v>BOSA</v>
      </c>
      <c r="I1176" s="123" t="s">
        <v>119</v>
      </c>
      <c r="J1176" s="121" t="s">
        <v>479</v>
      </c>
      <c r="K1176" s="120">
        <v>502337.33</v>
      </c>
      <c r="L1176" s="57"/>
    </row>
    <row r="1177" spans="1:12">
      <c r="A1177" s="234"/>
      <c r="B1177" s="234"/>
      <c r="C1177" s="234"/>
      <c r="D1177" s="237"/>
      <c r="E1177" s="237"/>
      <c r="F1177" s="240"/>
      <c r="G1177" s="109" t="str">
        <f ca="1">IFERROR(__xludf.DUMMYFUNCTION("IF(I1190="""","""",FILTER(DATOS!$D$4:$D$237,DATOS!$B$4:$B$237=I1190))"),"07-391")</f>
        <v>07-391</v>
      </c>
      <c r="H1177" s="109" t="str">
        <f ca="1">IFERROR(__xludf.DUMMYFUNCTION("IF(I1190="""","""",FILTER(DATOS!$C$4:$C$237,DATOS!$B$4:$B$237=I1190))"),"BOSA")</f>
        <v>BOSA</v>
      </c>
      <c r="I1177" s="123" t="s">
        <v>119</v>
      </c>
      <c r="J1177" s="121" t="s">
        <v>479</v>
      </c>
      <c r="K1177" s="120">
        <v>502337.33</v>
      </c>
      <c r="L1177" s="57"/>
    </row>
    <row r="1178" spans="1:12">
      <c r="A1178" s="234"/>
      <c r="B1178" s="234"/>
      <c r="C1178" s="234"/>
      <c r="D1178" s="237"/>
      <c r="E1178" s="237"/>
      <c r="F1178" s="240"/>
      <c r="G1178" s="109" t="str">
        <f ca="1">IFERROR(__xludf.DUMMYFUNCTION("IF(I1191="""","""",FILTER(DATOS!$D$4:$D$237,DATOS!$B$4:$B$237=I1191))"),"07-391")</f>
        <v>07-391</v>
      </c>
      <c r="H1178" s="109" t="str">
        <f ca="1">IFERROR(__xludf.DUMMYFUNCTION("IF(I1191="""","""",FILTER(DATOS!$C$4:$C$237,DATOS!$B$4:$B$237=I1191))"),"BOSA")</f>
        <v>BOSA</v>
      </c>
      <c r="I1178" s="123" t="s">
        <v>119</v>
      </c>
      <c r="J1178" s="121" t="s">
        <v>479</v>
      </c>
      <c r="K1178" s="120">
        <v>495612.33</v>
      </c>
      <c r="L1178" s="57"/>
    </row>
    <row r="1179" spans="1:12">
      <c r="A1179" s="234"/>
      <c r="B1179" s="234"/>
      <c r="C1179" s="234"/>
      <c r="D1179" s="237"/>
      <c r="E1179" s="237"/>
      <c r="F1179" s="240"/>
      <c r="G1179" s="109" t="str">
        <f ca="1">IFERROR(__xludf.DUMMYFUNCTION("IF(I1192="""","""",FILTER(DATOS!$D$4:$D$237,DATOS!$B$4:$B$237=I1192))"),"07-164")</f>
        <v>07-164</v>
      </c>
      <c r="H1179" s="109" t="str">
        <f ca="1">IFERROR(__xludf.DUMMYFUNCTION("IF(I1192="""","""",FILTER(DATOS!$C$4:$C$237,DATOS!$B$4:$B$237=I1192))"),"BOSA")</f>
        <v>BOSA</v>
      </c>
      <c r="I1179" s="123" t="s">
        <v>85</v>
      </c>
      <c r="J1179" s="121" t="s">
        <v>479</v>
      </c>
      <c r="K1179" s="120">
        <v>508422.91</v>
      </c>
      <c r="L1179" s="57"/>
    </row>
    <row r="1180" spans="1:12">
      <c r="A1180" s="234"/>
      <c r="B1180" s="234"/>
      <c r="C1180" s="234"/>
      <c r="D1180" s="237"/>
      <c r="E1180" s="237"/>
      <c r="F1180" s="240"/>
      <c r="G1180" s="109" t="str">
        <f ca="1">IFERROR(__xludf.DUMMYFUNCTION("IF(I1193="""","""",FILTER(DATOS!$D$4:$D$237,DATOS!$B$4:$B$237=I1193))"),"08-533")</f>
        <v>08-533</v>
      </c>
      <c r="H1180" s="109" t="str">
        <f ca="1">IFERROR(__xludf.DUMMYFUNCTION("IF(I1193="""","""",FILTER(DATOS!$C$4:$C$237,DATOS!$B$4:$B$237=I1193))"),"KENNEDY")</f>
        <v>KENNEDY</v>
      </c>
      <c r="I1180" s="123" t="s">
        <v>346</v>
      </c>
      <c r="J1180" s="121" t="s">
        <v>479</v>
      </c>
      <c r="K1180" s="120">
        <v>510795.43</v>
      </c>
      <c r="L1180" s="57"/>
    </row>
    <row r="1181" spans="1:12">
      <c r="A1181" s="234"/>
      <c r="B1181" s="234"/>
      <c r="C1181" s="234"/>
      <c r="D1181" s="237"/>
      <c r="E1181" s="237"/>
      <c r="F1181" s="240"/>
      <c r="G1181" s="109" t="str">
        <f ca="1">IFERROR(__xludf.DUMMYFUNCTION("IF(I1194="""","""",FILTER(DATOS!$D$4:$D$237,DATOS!$B$4:$B$237=I1194))"),"08-180")</f>
        <v>08-180</v>
      </c>
      <c r="H1181" s="109" t="str">
        <f ca="1">IFERROR(__xludf.DUMMYFUNCTION("IF(I1194="""","""",FILTER(DATOS!$C$4:$C$237,DATOS!$B$4:$B$237=I1194))"),"KENNEDY")</f>
        <v>KENNEDY</v>
      </c>
      <c r="I1181" s="123" t="s">
        <v>347</v>
      </c>
      <c r="J1181" s="121" t="s">
        <v>479</v>
      </c>
      <c r="K1181" s="120">
        <v>504796.25</v>
      </c>
      <c r="L1181" s="57"/>
    </row>
    <row r="1182" spans="1:12">
      <c r="A1182" s="234"/>
      <c r="B1182" s="234"/>
      <c r="C1182" s="234"/>
      <c r="D1182" s="237"/>
      <c r="E1182" s="237"/>
      <c r="F1182" s="240"/>
      <c r="G1182" s="109" t="str">
        <f ca="1">IFERROR(__xludf.DUMMYFUNCTION("IF(I1195="""","""",FILTER(DATOS!$D$4:$D$237,DATOS!$B$4:$B$237=I1195))"),"08-040")</f>
        <v>08-040</v>
      </c>
      <c r="H1182" s="109" t="str">
        <f ca="1">IFERROR(__xludf.DUMMYFUNCTION("IF(I1195="""","""",FILTER(DATOS!$C$4:$C$237,DATOS!$B$4:$B$237=I1195))"),"KENNEDY")</f>
        <v>KENNEDY</v>
      </c>
      <c r="I1182" s="123" t="s">
        <v>343</v>
      </c>
      <c r="J1182" s="121" t="s">
        <v>479</v>
      </c>
      <c r="K1182" s="120">
        <v>515461.45</v>
      </c>
      <c r="L1182" s="57"/>
    </row>
    <row r="1183" spans="1:12">
      <c r="A1183" s="234"/>
      <c r="B1183" s="234"/>
      <c r="C1183" s="234"/>
      <c r="D1183" s="237"/>
      <c r="E1183" s="237"/>
      <c r="F1183" s="240"/>
      <c r="G1183" s="109" t="str">
        <f ca="1">IFERROR(__xludf.DUMMYFUNCTION("IF(I1196="""","""",FILTER(DATOS!$D$4:$D$237,DATOS!$B$4:$B$237=I1196))"),"08-219")</f>
        <v>08-219</v>
      </c>
      <c r="H1183" s="109" t="str">
        <f ca="1">IFERROR(__xludf.DUMMYFUNCTION("IF(I1196="""","""",FILTER(DATOS!$C$4:$C$237,DATOS!$B$4:$B$237=I1196))"),"KENNEDY")</f>
        <v>KENNEDY</v>
      </c>
      <c r="I1183" s="123" t="s">
        <v>132</v>
      </c>
      <c r="J1183" s="121" t="s">
        <v>479</v>
      </c>
      <c r="K1183" s="120">
        <v>504796.25</v>
      </c>
      <c r="L1183" s="57"/>
    </row>
    <row r="1184" spans="1:12">
      <c r="A1184" s="234"/>
      <c r="B1184" s="234"/>
      <c r="C1184" s="234"/>
      <c r="D1184" s="237"/>
      <c r="E1184" s="237"/>
      <c r="F1184" s="240"/>
      <c r="G1184" s="109" t="str">
        <f ca="1">IFERROR(__xludf.DUMMYFUNCTION("IF(I1197="""","""",FILTER(DATOS!$D$4:$D$237,DATOS!$B$4:$B$237=I1197))"),"08-219")</f>
        <v>08-219</v>
      </c>
      <c r="H1184" s="109" t="str">
        <f ca="1">IFERROR(__xludf.DUMMYFUNCTION("IF(I1197="""","""",FILTER(DATOS!$C$4:$C$237,DATOS!$B$4:$B$237=I1197))"),"KENNEDY")</f>
        <v>KENNEDY</v>
      </c>
      <c r="I1184" s="123" t="s">
        <v>132</v>
      </c>
      <c r="J1184" s="121" t="s">
        <v>479</v>
      </c>
      <c r="K1184" s="120">
        <v>518572.13</v>
      </c>
      <c r="L1184" s="57"/>
    </row>
    <row r="1185" spans="1:12">
      <c r="A1185" s="234"/>
      <c r="B1185" s="234"/>
      <c r="C1185" s="234"/>
      <c r="D1185" s="237"/>
      <c r="E1185" s="237"/>
      <c r="F1185" s="240"/>
      <c r="G1185" s="109" t="str">
        <f ca="1">IFERROR(__xludf.DUMMYFUNCTION("IF(I1198="""","""",FILTER(DATOS!$D$4:$D$237,DATOS!$B$4:$B$237=I1198))"),"08-212")</f>
        <v>08-212</v>
      </c>
      <c r="H1185" s="109" t="str">
        <f ca="1">IFERROR(__xludf.DUMMYFUNCTION("IF(I1198="""","""",FILTER(DATOS!$C$4:$C$237,DATOS!$B$4:$B$237=I1198))"),"KENNEDY")</f>
        <v>KENNEDY</v>
      </c>
      <c r="I1185" s="123" t="s">
        <v>106</v>
      </c>
      <c r="J1185" s="121" t="s">
        <v>479</v>
      </c>
      <c r="K1185" s="120">
        <v>517016.79</v>
      </c>
      <c r="L1185" s="57"/>
    </row>
    <row r="1186" spans="1:12">
      <c r="A1186" s="234"/>
      <c r="B1186" s="234"/>
      <c r="C1186" s="234"/>
      <c r="D1186" s="237"/>
      <c r="E1186" s="237"/>
      <c r="F1186" s="240"/>
      <c r="G1186" s="109" t="str">
        <f ca="1">IFERROR(__xludf.DUMMYFUNCTION("IF(I1199="""","""",FILTER(DATOS!$D$4:$D$237,DATOS!$B$4:$B$237=I1199))"),"08-200")</f>
        <v>08-200</v>
      </c>
      <c r="H1186" s="109" t="str">
        <f ca="1">IFERROR(__xludf.DUMMYFUNCTION("IF(I1199="""","""",FILTER(DATOS!$C$4:$C$237,DATOS!$B$4:$B$237=I1199))"),"KENNEDY")</f>
        <v>KENNEDY</v>
      </c>
      <c r="I1186" s="123" t="s">
        <v>77</v>
      </c>
      <c r="J1186" s="121" t="s">
        <v>479</v>
      </c>
      <c r="K1186" s="120">
        <v>522208.38</v>
      </c>
      <c r="L1186" s="57"/>
    </row>
    <row r="1187" spans="1:12">
      <c r="A1187" s="234"/>
      <c r="B1187" s="234"/>
      <c r="C1187" s="234"/>
      <c r="D1187" s="237"/>
      <c r="E1187" s="237"/>
      <c r="F1187" s="240"/>
      <c r="G1187" s="109" t="str">
        <f ca="1">IFERROR(__xludf.DUMMYFUNCTION("IF(I1200="""","""",FILTER(DATOS!$D$4:$D$237,DATOS!$B$4:$B$237=I1200))"),"12-091")</f>
        <v>12-091</v>
      </c>
      <c r="H1187" s="109" t="str">
        <f ca="1">IFERROR(__xludf.DUMMYFUNCTION("IF(I1200="""","""",FILTER(DATOS!$C$4:$C$237,DATOS!$B$4:$B$237=I1200))"),"BARRIOS UNIDOS")</f>
        <v>BARRIOS UNIDOS</v>
      </c>
      <c r="I1187" s="123" t="s">
        <v>53</v>
      </c>
      <c r="J1187" s="121" t="s">
        <v>493</v>
      </c>
      <c r="K1187" s="120">
        <v>1165952.3700000001</v>
      </c>
      <c r="L1187" s="57"/>
    </row>
    <row r="1188" spans="1:12">
      <c r="A1188" s="234"/>
      <c r="B1188" s="234"/>
      <c r="C1188" s="234"/>
      <c r="D1188" s="237"/>
      <c r="E1188" s="237"/>
      <c r="F1188" s="240"/>
      <c r="G1188" s="109" t="str">
        <f ca="1">IFERROR(__xludf.DUMMYFUNCTION("IF(I1201="""","""",FILTER(DATOS!$D$4:$D$237,DATOS!$B$4:$B$237=I1201))"),"09-104")</f>
        <v>09-104</v>
      </c>
      <c r="H1188" s="109" t="str">
        <f ca="1">IFERROR(__xludf.DUMMYFUNCTION("IF(I1201="""","""",FILTER(DATOS!$C$4:$C$237,DATOS!$B$4:$B$237=I1201))"),"FONTIBON")</f>
        <v>FONTIBON</v>
      </c>
      <c r="I1188" s="123" t="s">
        <v>21</v>
      </c>
      <c r="J1188" s="121" t="s">
        <v>493</v>
      </c>
      <c r="K1188" s="120">
        <v>742659.87</v>
      </c>
      <c r="L1188" s="57"/>
    </row>
    <row r="1189" spans="1:12">
      <c r="A1189" s="234"/>
      <c r="B1189" s="234"/>
      <c r="C1189" s="234"/>
      <c r="D1189" s="237"/>
      <c r="E1189" s="237"/>
      <c r="F1189" s="240"/>
      <c r="G1189" s="109" t="str">
        <f ca="1">IFERROR(__xludf.DUMMYFUNCTION("IF(I1202="""","""",FILTER(DATOS!$D$4:$D$237,DATOS!$B$4:$B$237=I1202))"),"10-223")</f>
        <v>10-223</v>
      </c>
      <c r="H1189" s="109" t="str">
        <f ca="1">IFERROR(__xludf.DUMMYFUNCTION("IF(I1202="""","""",FILTER(DATOS!$C$4:$C$237,DATOS!$B$4:$B$237=I1202))"),"ENGATIVA")</f>
        <v>ENGATIVA</v>
      </c>
      <c r="I1189" s="123" t="s">
        <v>41</v>
      </c>
      <c r="J1189" s="121" t="s">
        <v>493</v>
      </c>
      <c r="K1189" s="120">
        <v>1165952.3700000001</v>
      </c>
      <c r="L1189" s="57"/>
    </row>
    <row r="1190" spans="1:12">
      <c r="A1190" s="234"/>
      <c r="B1190" s="234"/>
      <c r="C1190" s="234"/>
      <c r="D1190" s="237"/>
      <c r="E1190" s="237"/>
      <c r="F1190" s="240"/>
      <c r="G1190" s="109" t="s">
        <v>494</v>
      </c>
      <c r="H1190" s="109" t="s">
        <v>495</v>
      </c>
      <c r="I1190" s="125" t="s">
        <v>320</v>
      </c>
      <c r="J1190" s="125" t="s">
        <v>479</v>
      </c>
      <c r="K1190" s="126" t="s">
        <v>496</v>
      </c>
      <c r="L1190" s="57"/>
    </row>
    <row r="1191" spans="1:12" ht="15.75" thickBot="1">
      <c r="A1191" s="235"/>
      <c r="B1191" s="235"/>
      <c r="C1191" s="235"/>
      <c r="D1191" s="238"/>
      <c r="E1191" s="238"/>
      <c r="F1191" s="241"/>
      <c r="G1191" s="127" t="s">
        <v>497</v>
      </c>
      <c r="H1191" s="127" t="s">
        <v>498</v>
      </c>
      <c r="I1191" s="128" t="s">
        <v>81</v>
      </c>
      <c r="J1191" s="128" t="s">
        <v>479</v>
      </c>
      <c r="K1191" s="129" t="s">
        <v>499</v>
      </c>
      <c r="L1191" s="57"/>
    </row>
    <row r="1192" spans="1:12" ht="250.5" customHeight="1" thickBot="1">
      <c r="A1192" s="130" t="s">
        <v>500</v>
      </c>
      <c r="B1192" s="131" t="s">
        <v>501</v>
      </c>
      <c r="C1192" s="131" t="s">
        <v>502</v>
      </c>
      <c r="D1192" s="132">
        <v>45616</v>
      </c>
      <c r="E1192" s="132">
        <v>45857</v>
      </c>
      <c r="F1192" s="131">
        <v>1.66</v>
      </c>
      <c r="G1192" s="133" t="str">
        <f ca="1">IFERROR(__xludf.DUMMYFUNCTION("IF(I1236="""","""",FILTER(DATOS!$D$4:$D$237,DATOS!$B$4:$B$237=I1236))"),"03-035")</f>
        <v>03-035</v>
      </c>
      <c r="H1192" s="133" t="str">
        <f ca="1">IFERROR(__xludf.DUMMYFUNCTION("IF(I1236="""","""",FILTER(DATOS!$C$4:$C$237,DATOS!$B$4:$B$237=I1236))"),"SANTAFE")</f>
        <v>SANTAFE</v>
      </c>
      <c r="I1192" s="134" t="s">
        <v>46</v>
      </c>
      <c r="J1192" s="135" t="s">
        <v>503</v>
      </c>
      <c r="K1192" s="136">
        <v>213560010</v>
      </c>
      <c r="L1192" s="57">
        <v>12900349807</v>
      </c>
    </row>
    <row r="1193" spans="1:12" ht="37.5" customHeight="1" thickBot="1">
      <c r="A1193" s="210" t="s">
        <v>504</v>
      </c>
      <c r="B1193" s="211"/>
      <c r="C1193" s="211"/>
      <c r="D1193" s="211"/>
      <c r="E1193" s="211"/>
      <c r="F1193" s="212"/>
      <c r="G1193" s="17" t="s">
        <v>11</v>
      </c>
      <c r="H1193" s="17" t="s">
        <v>12</v>
      </c>
      <c r="I1193" s="137" t="s">
        <v>13</v>
      </c>
      <c r="J1193" s="17" t="s">
        <v>14</v>
      </c>
      <c r="K1193" s="19" t="s">
        <v>15</v>
      </c>
      <c r="L1193" s="57"/>
    </row>
    <row r="1194" spans="1:12" ht="78" customHeight="1" thickBot="1">
      <c r="A1194" s="138" t="s">
        <v>505</v>
      </c>
      <c r="B1194" s="139" t="s">
        <v>506</v>
      </c>
      <c r="C1194" s="139" t="s">
        <v>507</v>
      </c>
      <c r="D1194" s="140">
        <v>44918</v>
      </c>
      <c r="E1194" s="140">
        <v>45465</v>
      </c>
      <c r="F1194" s="141">
        <v>1</v>
      </c>
      <c r="G1194" s="139" t="str">
        <f ca="1">IFERROR(__xludf.DUMMYFUNCTION("IF(I1272="""","""",FILTER(DATOS!$D$4:$D$237,DATOS!$B$4:$B$237=I1272))"),"13-089")</f>
        <v>13-089</v>
      </c>
      <c r="H1194" s="139" t="str">
        <f ca="1">IFERROR(__xludf.DUMMYFUNCTION("IF(I1272="""","""",FILTER(DATOS!$C$4:$C$237,DATOS!$B$4:$B$237=I1272))"),"TEUSAQUILLO")</f>
        <v>TEUSAQUILLO</v>
      </c>
      <c r="I1194" s="142" t="s">
        <v>59</v>
      </c>
      <c r="J1194" s="142" t="s">
        <v>508</v>
      </c>
      <c r="K1194" s="25">
        <v>30000000</v>
      </c>
      <c r="L1194" s="80">
        <v>90000000</v>
      </c>
    </row>
    <row r="1195" spans="1:12" ht="23.25" customHeight="1">
      <c r="A1195" s="213" t="s">
        <v>509</v>
      </c>
      <c r="B1195" s="215" t="s">
        <v>510</v>
      </c>
      <c r="C1195" s="215" t="s">
        <v>511</v>
      </c>
      <c r="D1195" s="250">
        <v>44950</v>
      </c>
      <c r="E1195" s="250">
        <v>45405</v>
      </c>
      <c r="F1195" s="217">
        <v>1</v>
      </c>
      <c r="G1195" s="21" t="str">
        <f ca="1">IFERROR(__xludf.DUMMYFUNCTION("IF(I1273="""","""",FILTER(DATOS!$D$4:$D$237,DATOS!$B$4:$B$237=I1273))"),"13-089")</f>
        <v>13-089</v>
      </c>
      <c r="H1195" s="21" t="str">
        <f ca="1">IFERROR(__xludf.DUMMYFUNCTION("IF(I1273="""","""",FILTER(DATOS!$C$4:$C$237,DATOS!$B$4:$B$237=I1273))"),"TEUSAQUILLO")</f>
        <v>TEUSAQUILLO</v>
      </c>
      <c r="I1195" s="77" t="s">
        <v>59</v>
      </c>
      <c r="J1195" s="77" t="s">
        <v>512</v>
      </c>
      <c r="K1195" s="25">
        <v>17959940</v>
      </c>
      <c r="L1195" s="57">
        <v>170000000</v>
      </c>
    </row>
    <row r="1196" spans="1:12" ht="15.75" customHeight="1">
      <c r="A1196" s="214"/>
      <c r="B1196" s="197"/>
      <c r="C1196" s="197"/>
      <c r="D1196" s="228"/>
      <c r="E1196" s="228"/>
      <c r="F1196" s="197"/>
      <c r="G1196" s="26" t="str">
        <f ca="1">IFERROR(__xludf.DUMMYFUNCTION("IF(I1276="""","""",FILTER(DATOS!$D$4:$D$237,DATOS!$B$4:$B$237=I1276))"),"10-311")</f>
        <v>10-311</v>
      </c>
      <c r="H1196" s="26" t="str">
        <f ca="1">IFERROR(__xludf.DUMMYFUNCTION("IF(I1276="""","""",FILTER(DATOS!$C$4:$C$237,DATOS!$B$4:$B$237=I1276))"),"ENGATIVA")</f>
        <v>ENGATIVA</v>
      </c>
      <c r="I1196" s="81" t="s">
        <v>38</v>
      </c>
      <c r="J1196" s="36" t="s">
        <v>512</v>
      </c>
      <c r="K1196" s="30">
        <v>6189460</v>
      </c>
      <c r="L1196" s="11"/>
    </row>
    <row r="1197" spans="1:12" ht="15.75" customHeight="1">
      <c r="A1197" s="214"/>
      <c r="B1197" s="197"/>
      <c r="C1197" s="197"/>
      <c r="D1197" s="228"/>
      <c r="E1197" s="228"/>
      <c r="F1197" s="197"/>
      <c r="G1197" s="26" t="str">
        <f ca="1">IFERROR(__xludf.DUMMYFUNCTION("IF(I1282="""","""",FILTER(DATOS!$D$4:$D$237,DATOS!$B$4:$B$237=I1282))"),"06-063")</f>
        <v>06-063</v>
      </c>
      <c r="H1197" s="26" t="str">
        <f ca="1">IFERROR(__xludf.DUMMYFUNCTION("IF(I1282="""","""",FILTER(DATOS!$C$4:$C$237,DATOS!$B$4:$B$237=I1282))"),"TUNJUELITO")</f>
        <v>TUNJUELITO</v>
      </c>
      <c r="I1197" s="81" t="s">
        <v>87</v>
      </c>
      <c r="J1197" s="36" t="s">
        <v>512</v>
      </c>
      <c r="K1197" s="30">
        <v>983400</v>
      </c>
      <c r="L1197" s="11"/>
    </row>
    <row r="1198" spans="1:12" ht="15.75" customHeight="1">
      <c r="A1198" s="214"/>
      <c r="B1198" s="197"/>
      <c r="C1198" s="197"/>
      <c r="D1198" s="228"/>
      <c r="E1198" s="228"/>
      <c r="F1198" s="197"/>
      <c r="G1198" s="26" t="str">
        <f ca="1">IFERROR(__xludf.DUMMYFUNCTION("IF(I1284="""","""",FILTER(DATOS!$D$4:$D$237,DATOS!$B$4:$B$237=I1284))"),"13-088")</f>
        <v>13-088</v>
      </c>
      <c r="H1198" s="26" t="str">
        <f ca="1">IFERROR(__xludf.DUMMYFUNCTION("IF(I1284="""","""",FILTER(DATOS!$C$4:$C$237,DATOS!$B$4:$B$237=I1284))"),"TEUSAQUILLO")</f>
        <v>TEUSAQUILLO</v>
      </c>
      <c r="I1198" s="81" t="s">
        <v>66</v>
      </c>
      <c r="J1198" s="36" t="s">
        <v>512</v>
      </c>
      <c r="K1198" s="30">
        <v>1490000</v>
      </c>
      <c r="L1198" s="11"/>
    </row>
    <row r="1199" spans="1:12" ht="15.75" customHeight="1" thickBot="1">
      <c r="A1199" s="214"/>
      <c r="B1199" s="197"/>
      <c r="C1199" s="197"/>
      <c r="D1199" s="228"/>
      <c r="E1199" s="228"/>
      <c r="F1199" s="197"/>
      <c r="G1199" s="26" t="str">
        <f ca="1">IFERROR(__xludf.DUMMYFUNCTION("IF(I1289="""","""",FILTER(DATOS!$D$4:$D$237,DATOS!$B$4:$B$237=I1289))"),"12-092")</f>
        <v>12-092</v>
      </c>
      <c r="H1199" s="26" t="str">
        <f ca="1">IFERROR(__xludf.DUMMYFUNCTION("IF(I1289="""","""",FILTER(DATOS!$C$4:$C$237,DATOS!$B$4:$B$237=I1289))"),"BARRIOS UNIDOS")</f>
        <v>BARRIOS UNIDOS</v>
      </c>
      <c r="I1199" s="81" t="s">
        <v>31</v>
      </c>
      <c r="J1199" s="81" t="s">
        <v>512</v>
      </c>
      <c r="K1199" s="30">
        <v>1811840</v>
      </c>
      <c r="L1199" s="11"/>
    </row>
    <row r="1200" spans="1:12" ht="24">
      <c r="A1200" s="213" t="s">
        <v>513</v>
      </c>
      <c r="B1200" s="215" t="s">
        <v>514</v>
      </c>
      <c r="C1200" s="215" t="s">
        <v>515</v>
      </c>
      <c r="D1200" s="250">
        <v>45103</v>
      </c>
      <c r="E1200" s="250">
        <v>45483</v>
      </c>
      <c r="F1200" s="217">
        <v>1</v>
      </c>
      <c r="G1200" s="21" t="str">
        <f ca="1">IFERROR(__xludf.DUMMYFUNCTION("IF(I1291="""","""",FILTER(DATOS!$D$4:$D$237,DATOS!$B$4:$B$237=I1291))"),"01-023")</f>
        <v>01-023</v>
      </c>
      <c r="H1200" s="21" t="str">
        <f ca="1">IFERROR(__xludf.DUMMYFUNCTION("IF(I1291="""","""",FILTER(DATOS!$C$4:$C$237,DATOS!$B$4:$B$237=I1291))"),"USAQUEN")</f>
        <v>USAQUEN</v>
      </c>
      <c r="I1200" s="77" t="s">
        <v>58</v>
      </c>
      <c r="J1200" s="77" t="s">
        <v>516</v>
      </c>
      <c r="K1200" s="25">
        <v>4221000</v>
      </c>
      <c r="L1200" s="143">
        <v>771435043</v>
      </c>
    </row>
    <row r="1201" spans="1:12" ht="24">
      <c r="A1201" s="214"/>
      <c r="B1201" s="197"/>
      <c r="C1201" s="197"/>
      <c r="D1201" s="228"/>
      <c r="E1201" s="228"/>
      <c r="F1201" s="197"/>
      <c r="G1201" s="26" t="str">
        <f ca="1">IFERROR(__xludf.DUMMYFUNCTION("IF(I1293="""","""",FILTER(DATOS!$D$4:$D$237,DATOS!$B$4:$B$237=I1293))"),"01-075")</f>
        <v>01-075</v>
      </c>
      <c r="H1201" s="26" t="str">
        <f ca="1">IFERROR(__xludf.DUMMYFUNCTION("IF(I1293="""","""",FILTER(DATOS!$C$4:$C$237,DATOS!$B$4:$B$237=I1293))"),"USAQUEN")</f>
        <v>USAQUEN</v>
      </c>
      <c r="I1201" s="36" t="s">
        <v>20</v>
      </c>
      <c r="J1201" s="36" t="s">
        <v>516</v>
      </c>
      <c r="K1201" s="30">
        <v>1232554</v>
      </c>
      <c r="L1201" s="11"/>
    </row>
    <row r="1202" spans="1:12" ht="24">
      <c r="A1202" s="214"/>
      <c r="B1202" s="197"/>
      <c r="C1202" s="197"/>
      <c r="D1202" s="228"/>
      <c r="E1202" s="228"/>
      <c r="F1202" s="197"/>
      <c r="G1202" s="32" t="str">
        <f ca="1">IFERROR(__xludf.DUMMYFUNCTION("IF(I1294="""","""",FILTER(DATOS!$D$4:$D$237,DATOS!$B$4:$B$237=I1294))"),"01-1000")</f>
        <v>01-1000</v>
      </c>
      <c r="H1202" s="32" t="str">
        <f ca="1">IFERROR(__xludf.DUMMYFUNCTION("IF(I1294="""","""",FILTER(DATOS!$C$4:$C$237,DATOS!$B$4:$B$237=I1294))"),"USAQUEN")</f>
        <v>USAQUEN</v>
      </c>
      <c r="I1202" s="36" t="s">
        <v>29</v>
      </c>
      <c r="J1202" s="36" t="s">
        <v>516</v>
      </c>
      <c r="K1202" s="30">
        <v>3119920</v>
      </c>
      <c r="L1202" s="11"/>
    </row>
    <row r="1203" spans="1:12" ht="24">
      <c r="A1203" s="214"/>
      <c r="B1203" s="197"/>
      <c r="C1203" s="197"/>
      <c r="D1203" s="228"/>
      <c r="E1203" s="228"/>
      <c r="F1203" s="197"/>
      <c r="G1203" s="26" t="str">
        <f ca="1">IFERROR(__xludf.DUMMYFUNCTION("IF(I1297="""","""",FILTER(DATOS!$D$4:$D$237,DATOS!$B$4:$B$237=I1297))"),"03-035")</f>
        <v>03-035</v>
      </c>
      <c r="H1203" s="26" t="str">
        <f ca="1">IFERROR(__xludf.DUMMYFUNCTION("IF(I1297="""","""",FILTER(DATOS!$C$4:$C$237,DATOS!$B$4:$B$237=I1297))"),"SANTAFE")</f>
        <v>SANTAFE</v>
      </c>
      <c r="I1203" s="40" t="s">
        <v>46</v>
      </c>
      <c r="J1203" s="36" t="s">
        <v>516</v>
      </c>
      <c r="K1203" s="30">
        <v>5979880</v>
      </c>
      <c r="L1203" s="11"/>
    </row>
    <row r="1204" spans="1:12" ht="24">
      <c r="A1204" s="214"/>
      <c r="B1204" s="197"/>
      <c r="C1204" s="197"/>
      <c r="D1204" s="228"/>
      <c r="E1204" s="228"/>
      <c r="F1204" s="197"/>
      <c r="G1204" s="26" t="str">
        <f ca="1">IFERROR(__xludf.DUMMYFUNCTION("IF(I1298="""","""",FILTER(DATOS!$D$4:$D$237,DATOS!$B$4:$B$237=I1298))"),"03-036")</f>
        <v>03-036</v>
      </c>
      <c r="H1204" s="26" t="str">
        <f ca="1">IFERROR(__xludf.DUMMYFUNCTION("IF(I1298="""","""",FILTER(DATOS!$C$4:$C$237,DATOS!$B$4:$B$237=I1298))"),"SANTAFE")</f>
        <v>SANTAFE</v>
      </c>
      <c r="I1204" s="36" t="s">
        <v>109</v>
      </c>
      <c r="J1204" s="36" t="s">
        <v>516</v>
      </c>
      <c r="K1204" s="30">
        <v>4528350</v>
      </c>
      <c r="L1204" s="11"/>
    </row>
    <row r="1205" spans="1:12" ht="24">
      <c r="A1205" s="214"/>
      <c r="B1205" s="197"/>
      <c r="C1205" s="197"/>
      <c r="D1205" s="228"/>
      <c r="E1205" s="228"/>
      <c r="F1205" s="197"/>
      <c r="G1205" s="26" t="str">
        <f ca="1">IFERROR(__xludf.DUMMYFUNCTION("IF(I1299="""","""",FILTER(DATOS!$D$4:$D$237,DATOS!$B$4:$B$237=I1299))"),"03-039")</f>
        <v>03-039</v>
      </c>
      <c r="H1205" s="26" t="str">
        <f ca="1">IFERROR(__xludf.DUMMYFUNCTION("IF(I1299="""","""",FILTER(DATOS!$C$4:$C$237,DATOS!$B$4:$B$237=I1299))"),"SANTAFE")</f>
        <v>SANTAFE</v>
      </c>
      <c r="I1205" s="36" t="s">
        <v>40</v>
      </c>
      <c r="J1205" s="36" t="s">
        <v>516</v>
      </c>
      <c r="K1205" s="30">
        <v>3618000</v>
      </c>
      <c r="L1205" s="11"/>
    </row>
    <row r="1206" spans="1:12" ht="24">
      <c r="A1206" s="214"/>
      <c r="B1206" s="197"/>
      <c r="C1206" s="197"/>
      <c r="D1206" s="228"/>
      <c r="E1206" s="228"/>
      <c r="F1206" s="197"/>
      <c r="G1206" s="26" t="str">
        <f ca="1">IFERROR(__xludf.DUMMYFUNCTION("IF(I1300="""","""",FILTER(DATOS!$D$4:$D$237,DATOS!$B$4:$B$237=I1300))"),"03-085")</f>
        <v>03-085</v>
      </c>
      <c r="H1206" s="26" t="str">
        <f ca="1">IFERROR(__xludf.DUMMYFUNCTION("IF(I1300="""","""",FILTER(DATOS!$C$4:$C$237,DATOS!$B$4:$B$237=I1300))"),"SANTAFE")</f>
        <v>SANTAFE</v>
      </c>
      <c r="I1206" s="36" t="s">
        <v>129</v>
      </c>
      <c r="J1206" s="36" t="s">
        <v>516</v>
      </c>
      <c r="K1206" s="30">
        <v>8969820</v>
      </c>
      <c r="L1206" s="11"/>
    </row>
    <row r="1207" spans="1:12" ht="24">
      <c r="A1207" s="214"/>
      <c r="B1207" s="197"/>
      <c r="C1207" s="197"/>
      <c r="D1207" s="228"/>
      <c r="E1207" s="228"/>
      <c r="F1207" s="197"/>
      <c r="G1207" s="26" t="str">
        <f ca="1">IFERROR(__xludf.DUMMYFUNCTION("IF(I1301="""","""",FILTER(DATOS!$D$4:$D$237,DATOS!$B$4:$B$237=I1301))"),"03-093")</f>
        <v>03-093</v>
      </c>
      <c r="H1207" s="26" t="str">
        <f ca="1">IFERROR(__xludf.DUMMYFUNCTION("IF(I1301="""","""",FILTER(DATOS!$C$4:$C$237,DATOS!$B$4:$B$237=I1301))"),"SANTAFE")</f>
        <v>SANTAFE</v>
      </c>
      <c r="I1207" s="36" t="s">
        <v>51</v>
      </c>
      <c r="J1207" s="36" t="s">
        <v>516</v>
      </c>
      <c r="K1207" s="30">
        <v>812600</v>
      </c>
      <c r="L1207" s="11"/>
    </row>
    <row r="1208" spans="1:12" ht="24">
      <c r="A1208" s="214"/>
      <c r="B1208" s="197"/>
      <c r="C1208" s="197"/>
      <c r="D1208" s="228"/>
      <c r="E1208" s="228"/>
      <c r="F1208" s="197"/>
      <c r="G1208" s="26" t="str">
        <f ca="1">IFERROR(__xludf.DUMMYFUNCTION("IF(I1303="""","""",FILTER(DATOS!$D$4:$D$237,DATOS!$B$4:$B$237=I1303))"),"04-075")</f>
        <v>04-075</v>
      </c>
      <c r="H1208" s="26" t="str">
        <f ca="1">IFERROR(__xludf.DUMMYFUNCTION("IF(I1303="""","""",FILTER(DATOS!$C$4:$C$237,DATOS!$B$4:$B$237=I1303))"),"SAN CRISTOBAL")</f>
        <v>SAN CRISTOBAL</v>
      </c>
      <c r="I1208" s="36" t="s">
        <v>136</v>
      </c>
      <c r="J1208" s="36" t="s">
        <v>516</v>
      </c>
      <c r="K1208" s="30">
        <v>4221000</v>
      </c>
      <c r="L1208" s="11"/>
    </row>
    <row r="1209" spans="1:12" ht="24">
      <c r="A1209" s="214"/>
      <c r="B1209" s="197"/>
      <c r="C1209" s="197"/>
      <c r="D1209" s="228"/>
      <c r="E1209" s="228"/>
      <c r="F1209" s="197"/>
      <c r="G1209" s="26" t="str">
        <f ca="1">IFERROR(__xludf.DUMMYFUNCTION("IF(I1304="""","""",FILTER(DATOS!$D$4:$D$237,DATOS!$B$4:$B$237=I1304))"),"04-103")</f>
        <v>04-103</v>
      </c>
      <c r="H1209" s="26" t="str">
        <f ca="1">IFERROR(__xludf.DUMMYFUNCTION("IF(I1304="""","""",FILTER(DATOS!$C$4:$C$237,DATOS!$B$4:$B$237=I1304))"),"SAN CRISTOBAL")</f>
        <v>SAN CRISTOBAL</v>
      </c>
      <c r="I1209" s="144" t="s">
        <v>95</v>
      </c>
      <c r="J1209" s="36" t="s">
        <v>516</v>
      </c>
      <c r="K1209" s="30">
        <v>3618000</v>
      </c>
      <c r="L1209" s="11"/>
    </row>
    <row r="1210" spans="1:12" ht="24">
      <c r="A1210" s="214"/>
      <c r="B1210" s="197"/>
      <c r="C1210" s="197"/>
      <c r="D1210" s="228"/>
      <c r="E1210" s="228"/>
      <c r="F1210" s="197"/>
      <c r="G1210" s="26" t="str">
        <f ca="1">IFERROR(__xludf.DUMMYFUNCTION("IF(I1305="""","""",FILTER(DATOS!$D$4:$D$237,DATOS!$B$4:$B$237=I1305))"),"04-122")</f>
        <v>04-122</v>
      </c>
      <c r="H1210" s="26" t="str">
        <f ca="1">IFERROR(__xludf.DUMMYFUNCTION("IF(I1305="""","""",FILTER(DATOS!$C$4:$C$237,DATOS!$B$4:$B$237=I1305))"),"SAN CRISTOBAL")</f>
        <v>SAN CRISTOBAL</v>
      </c>
      <c r="I1210" s="36" t="s">
        <v>108</v>
      </c>
      <c r="J1210" s="36" t="s">
        <v>516</v>
      </c>
      <c r="K1210" s="30">
        <v>3899900</v>
      </c>
      <c r="L1210" s="11"/>
    </row>
    <row r="1211" spans="1:12" ht="24">
      <c r="A1211" s="214"/>
      <c r="B1211" s="197"/>
      <c r="C1211" s="197"/>
      <c r="D1211" s="228"/>
      <c r="E1211" s="228"/>
      <c r="F1211" s="197"/>
      <c r="G1211" s="26" t="str">
        <f ca="1">IFERROR(__xludf.DUMMYFUNCTION("IF(I1306="""","""",FILTER(DATOS!$D$4:$D$237,DATOS!$B$4:$B$237=I1306))"),"04-127")</f>
        <v>04-127</v>
      </c>
      <c r="H1211" s="26" t="str">
        <f ca="1">IFERROR(__xludf.DUMMYFUNCTION("IF(I1306="""","""",FILTER(DATOS!$C$4:$C$237,DATOS!$B$4:$B$237=I1306))"),"SAN CRISTOBAL")</f>
        <v>SAN CRISTOBAL</v>
      </c>
      <c r="I1211" s="36" t="s">
        <v>123</v>
      </c>
      <c r="J1211" s="36" t="s">
        <v>516</v>
      </c>
      <c r="K1211" s="30">
        <v>2339940</v>
      </c>
      <c r="L1211" s="11"/>
    </row>
    <row r="1212" spans="1:12" ht="24">
      <c r="A1212" s="214"/>
      <c r="B1212" s="197"/>
      <c r="C1212" s="197"/>
      <c r="D1212" s="228"/>
      <c r="E1212" s="228"/>
      <c r="F1212" s="197"/>
      <c r="G1212" s="26" t="str">
        <f ca="1">IFERROR(__xludf.DUMMYFUNCTION("IF(I1307="""","""",FILTER(DATOS!$D$4:$D$237,DATOS!$B$4:$B$237=I1307))"),"04-127")</f>
        <v>04-127</v>
      </c>
      <c r="H1212" s="26" t="str">
        <f ca="1">IFERROR(__xludf.DUMMYFUNCTION("IF(I1307="""","""",FILTER(DATOS!$C$4:$C$237,DATOS!$B$4:$B$237=I1307))"),"SAN CRISTOBAL")</f>
        <v>SAN CRISTOBAL</v>
      </c>
      <c r="I1212" s="36" t="s">
        <v>124</v>
      </c>
      <c r="J1212" s="36" t="s">
        <v>516</v>
      </c>
      <c r="K1212" s="30">
        <v>5143050</v>
      </c>
      <c r="L1212" s="11"/>
    </row>
    <row r="1213" spans="1:12" ht="24">
      <c r="A1213" s="214"/>
      <c r="B1213" s="197"/>
      <c r="C1213" s="197"/>
      <c r="D1213" s="228"/>
      <c r="E1213" s="228"/>
      <c r="F1213" s="197"/>
      <c r="G1213" s="26" t="str">
        <f ca="1">IFERROR(__xludf.DUMMYFUNCTION("IF(I1308="""","""",FILTER(DATOS!$D$4:$D$237,DATOS!$B$4:$B$237=I1308))"),"04-196")</f>
        <v>04-196</v>
      </c>
      <c r="H1213" s="26" t="str">
        <f ca="1">IFERROR(__xludf.DUMMYFUNCTION("IF(I1308="""","""",FILTER(DATOS!$C$4:$C$237,DATOS!$B$4:$B$237=I1308))"),"SAN CRISTOBAL")</f>
        <v>SAN CRISTOBAL</v>
      </c>
      <c r="I1213" s="36" t="s">
        <v>134</v>
      </c>
      <c r="J1213" s="36" t="s">
        <v>516</v>
      </c>
      <c r="K1213" s="30">
        <v>3899900</v>
      </c>
      <c r="L1213" s="11"/>
    </row>
    <row r="1214" spans="1:12" ht="24">
      <c r="A1214" s="214"/>
      <c r="B1214" s="197"/>
      <c r="C1214" s="197"/>
      <c r="D1214" s="228"/>
      <c r="E1214" s="228"/>
      <c r="F1214" s="197"/>
      <c r="G1214" s="26" t="str">
        <f ca="1">IFERROR(__xludf.DUMMYFUNCTION("IF(I1309="""","""",FILTER(DATOS!$D$4:$D$237,DATOS!$B$4:$B$237=I1309))"),"05-002")</f>
        <v>05-002</v>
      </c>
      <c r="H1214" s="26" t="str">
        <f ca="1">IFERROR(__xludf.DUMMYFUNCTION("IF(I1309="""","""",FILTER(DATOS!$C$4:$C$237,DATOS!$B$4:$B$237=I1309))"),"USME")</f>
        <v>USME</v>
      </c>
      <c r="I1214" s="36" t="s">
        <v>102</v>
      </c>
      <c r="J1214" s="36" t="s">
        <v>516</v>
      </c>
      <c r="K1214" s="30">
        <v>1206000</v>
      </c>
      <c r="L1214" s="11"/>
    </row>
    <row r="1215" spans="1:12" ht="24">
      <c r="A1215" s="214"/>
      <c r="B1215" s="197"/>
      <c r="C1215" s="197"/>
      <c r="D1215" s="228"/>
      <c r="E1215" s="228"/>
      <c r="F1215" s="197"/>
      <c r="G1215" s="26" t="str">
        <f ca="1">IFERROR(__xludf.DUMMYFUNCTION("IF(I1310="""","""",FILTER(DATOS!$D$4:$D$237,DATOS!$B$4:$B$237=I1310))"),"05-003")</f>
        <v>05-003</v>
      </c>
      <c r="H1215" s="26" t="str">
        <f ca="1">IFERROR(__xludf.DUMMYFUNCTION("IF(I1310="""","""",FILTER(DATOS!$C$4:$C$237,DATOS!$B$4:$B$237=I1310))"),"USME")</f>
        <v>USME</v>
      </c>
      <c r="I1215" s="36" t="s">
        <v>133</v>
      </c>
      <c r="J1215" s="36" t="s">
        <v>516</v>
      </c>
      <c r="K1215" s="30">
        <v>4174330</v>
      </c>
      <c r="L1215" s="11"/>
    </row>
    <row r="1216" spans="1:12" ht="24">
      <c r="A1216" s="214"/>
      <c r="B1216" s="197"/>
      <c r="C1216" s="197"/>
      <c r="D1216" s="228"/>
      <c r="E1216" s="228"/>
      <c r="F1216" s="197"/>
      <c r="G1216" s="26" t="str">
        <f ca="1">IFERROR(__xludf.DUMMYFUNCTION("IF(I1311="""","""",FILTER(DATOS!$D$4:$D$237,DATOS!$B$4:$B$237=I1311))"),"05-004")</f>
        <v>05-004</v>
      </c>
      <c r="H1216" s="26" t="str">
        <f ca="1">IFERROR(__xludf.DUMMYFUNCTION("IF(I1311="""","""",FILTER(DATOS!$C$4:$C$237,DATOS!$B$4:$B$237=I1311))"),"USME")</f>
        <v>USME</v>
      </c>
      <c r="I1216" s="36" t="s">
        <v>101</v>
      </c>
      <c r="J1216" s="36" t="s">
        <v>516</v>
      </c>
      <c r="K1216" s="30">
        <v>1316650</v>
      </c>
      <c r="L1216" s="11"/>
    </row>
    <row r="1217" spans="1:12" ht="24">
      <c r="A1217" s="214"/>
      <c r="B1217" s="197"/>
      <c r="C1217" s="197"/>
      <c r="D1217" s="228"/>
      <c r="E1217" s="228"/>
      <c r="F1217" s="197"/>
      <c r="G1217" s="26" t="str">
        <f ca="1">IFERROR(__xludf.DUMMYFUNCTION("IF(I1312="""","""",FILTER(DATOS!$D$4:$D$237,DATOS!$B$4:$B$237=I1312))"),"05-016")</f>
        <v>05-016</v>
      </c>
      <c r="H1217" s="26" t="str">
        <f ca="1">IFERROR(__xludf.DUMMYFUNCTION("IF(I1312="""","""",FILTER(DATOS!$C$4:$C$237,DATOS!$B$4:$B$237=I1312))"),"USME")</f>
        <v>USME</v>
      </c>
      <c r="I1217" s="36" t="s">
        <v>89</v>
      </c>
      <c r="J1217" s="36" t="s">
        <v>516</v>
      </c>
      <c r="K1217" s="30">
        <v>5438700</v>
      </c>
      <c r="L1217" s="11"/>
    </row>
    <row r="1218" spans="1:12" ht="24">
      <c r="A1218" s="214"/>
      <c r="B1218" s="197"/>
      <c r="C1218" s="197"/>
      <c r="D1218" s="228"/>
      <c r="E1218" s="228"/>
      <c r="F1218" s="197"/>
      <c r="G1218" s="26" t="str">
        <f ca="1">IFERROR(__xludf.DUMMYFUNCTION("IF(I1313="""","""",FILTER(DATOS!$D$4:$D$237,DATOS!$B$4:$B$237=I1313))"),"05-087")</f>
        <v>05-087</v>
      </c>
      <c r="H1218" s="26" t="str">
        <f ca="1">IFERROR(__xludf.DUMMYFUNCTION("IF(I1313="""","""",FILTER(DATOS!$C$4:$C$237,DATOS!$B$4:$B$237=I1313))"),"USME")</f>
        <v>USME</v>
      </c>
      <c r="I1218" s="36" t="s">
        <v>135</v>
      </c>
      <c r="J1218" s="36" t="s">
        <v>516</v>
      </c>
      <c r="K1218" s="30">
        <v>1559960</v>
      </c>
      <c r="L1218" s="11"/>
    </row>
    <row r="1219" spans="1:12" ht="24">
      <c r="A1219" s="214"/>
      <c r="B1219" s="197"/>
      <c r="C1219" s="197"/>
      <c r="D1219" s="228"/>
      <c r="E1219" s="228"/>
      <c r="F1219" s="197"/>
      <c r="G1219" s="26" t="str">
        <f ca="1">IFERROR(__xludf.DUMMYFUNCTION("IF(I1314="""","""",FILTER(DATOS!$D$4:$D$237,DATOS!$B$4:$B$237=I1314))"),"05-236")</f>
        <v>05-236</v>
      </c>
      <c r="H1219" s="26" t="str">
        <f ca="1">IFERROR(__xludf.DUMMYFUNCTION("IF(I1314="""","""",FILTER(DATOS!$C$4:$C$237,DATOS!$B$4:$B$237=I1314))"),"USME")</f>
        <v>USME</v>
      </c>
      <c r="I1219" s="36" t="s">
        <v>122</v>
      </c>
      <c r="J1219" s="36" t="s">
        <v>516</v>
      </c>
      <c r="K1219" s="30">
        <v>1206000</v>
      </c>
      <c r="L1219" s="11"/>
    </row>
    <row r="1220" spans="1:12" ht="24">
      <c r="A1220" s="214"/>
      <c r="B1220" s="197"/>
      <c r="C1220" s="197"/>
      <c r="D1220" s="228"/>
      <c r="E1220" s="228"/>
      <c r="F1220" s="197"/>
      <c r="G1220" s="26" t="str">
        <f ca="1">IFERROR(__xludf.DUMMYFUNCTION("IF(I1315="""","""",FILTER(DATOS!$D$4:$D$237,DATOS!$B$4:$B$237=I1315))"),"06-017")</f>
        <v>06-017</v>
      </c>
      <c r="H1220" s="26" t="str">
        <f ca="1">IFERROR(__xludf.DUMMYFUNCTION("IF(I1315="""","""",FILTER(DATOS!$C$4:$C$237,DATOS!$B$4:$B$237=I1315))"),"TUNJUELITO")</f>
        <v>TUNJUELITO</v>
      </c>
      <c r="I1220" s="36" t="s">
        <v>117</v>
      </c>
      <c r="J1220" s="36" t="s">
        <v>516</v>
      </c>
      <c r="K1220" s="30">
        <v>4509161</v>
      </c>
      <c r="L1220" s="11"/>
    </row>
    <row r="1221" spans="1:12" ht="24">
      <c r="A1221" s="214"/>
      <c r="B1221" s="197"/>
      <c r="C1221" s="197"/>
      <c r="D1221" s="228"/>
      <c r="E1221" s="228"/>
      <c r="F1221" s="197"/>
      <c r="G1221" s="26" t="str">
        <f ca="1">IFERROR(__xludf.DUMMYFUNCTION("IF(I1316="""","""",FILTER(DATOS!$D$4:$D$237,DATOS!$B$4:$B$237=I1316))"),"06-063")</f>
        <v>06-063</v>
      </c>
      <c r="H1221" s="26" t="str">
        <f ca="1">IFERROR(__xludf.DUMMYFUNCTION("IF(I1316="""","""",FILTER(DATOS!$C$4:$C$237,DATOS!$B$4:$B$237=I1316))"),"TUNJUELITO")</f>
        <v>TUNJUELITO</v>
      </c>
      <c r="I1221" s="36" t="s">
        <v>87</v>
      </c>
      <c r="J1221" s="36" t="s">
        <v>516</v>
      </c>
      <c r="K1221" s="30">
        <v>20510220</v>
      </c>
      <c r="L1221" s="11"/>
    </row>
    <row r="1222" spans="1:12" ht="24">
      <c r="A1222" s="214"/>
      <c r="B1222" s="197"/>
      <c r="C1222" s="197"/>
      <c r="D1222" s="228"/>
      <c r="E1222" s="228"/>
      <c r="F1222" s="197"/>
      <c r="G1222" s="26" t="str">
        <f ca="1">IFERROR(__xludf.DUMMYFUNCTION("IF(I1317="""","""",FILTER(DATOS!$D$4:$D$237,DATOS!$B$4:$B$237=I1317))"),"06-063")</f>
        <v>06-063</v>
      </c>
      <c r="H1222" s="26" t="str">
        <f ca="1">IFERROR(__xludf.DUMMYFUNCTION("IF(I1317="""","""",FILTER(DATOS!$C$4:$C$237,DATOS!$B$4:$B$237=I1317))"),"TUNJUELITO")</f>
        <v>TUNJUELITO</v>
      </c>
      <c r="I1222" s="36" t="s">
        <v>88</v>
      </c>
      <c r="J1222" s="36" t="s">
        <v>516</v>
      </c>
      <c r="K1222" s="30">
        <v>6041700</v>
      </c>
      <c r="L1222" s="11"/>
    </row>
    <row r="1223" spans="1:12" ht="24">
      <c r="A1223" s="214"/>
      <c r="B1223" s="197"/>
      <c r="C1223" s="197"/>
      <c r="D1223" s="228"/>
      <c r="E1223" s="228"/>
      <c r="F1223" s="197"/>
      <c r="G1223" s="26" t="str">
        <f ca="1">IFERROR(__xludf.DUMMYFUNCTION("IF(I1318="""","""",FILTER(DATOS!$D$4:$D$237,DATOS!$B$4:$B$237=I1318))"),"07-035")</f>
        <v>07-035</v>
      </c>
      <c r="H1223" s="26" t="str">
        <f ca="1">IFERROR(__xludf.DUMMYFUNCTION("IF(I1318="""","""",FILTER(DATOS!$C$4:$C$237,DATOS!$B$4:$B$237=I1318))"),"BOSA")</f>
        <v>BOSA</v>
      </c>
      <c r="I1223" s="36" t="s">
        <v>116</v>
      </c>
      <c r="J1223" s="36" t="s">
        <v>516</v>
      </c>
      <c r="K1223" s="30">
        <v>1415977</v>
      </c>
      <c r="L1223" s="11"/>
    </row>
    <row r="1224" spans="1:12" ht="24">
      <c r="A1224" s="214"/>
      <c r="B1224" s="197"/>
      <c r="C1224" s="197"/>
      <c r="D1224" s="228"/>
      <c r="E1224" s="228"/>
      <c r="F1224" s="197"/>
      <c r="G1224" s="26" t="str">
        <f ca="1">IFERROR(__xludf.DUMMYFUNCTION("IF(I1319="""","""",FILTER(DATOS!$D$4:$D$237,DATOS!$B$4:$B$237=I1319))"),"07-163")</f>
        <v>07-163</v>
      </c>
      <c r="H1224" s="26" t="str">
        <f ca="1">IFERROR(__xludf.DUMMYFUNCTION("IF(I1319="""","""",FILTER(DATOS!$C$4:$C$237,DATOS!$B$4:$B$237=I1319))"),"BOSA")</f>
        <v>BOSA</v>
      </c>
      <c r="I1224" s="36" t="s">
        <v>80</v>
      </c>
      <c r="J1224" s="36" t="s">
        <v>516</v>
      </c>
      <c r="K1224" s="30">
        <v>4430977</v>
      </c>
      <c r="L1224" s="11"/>
    </row>
    <row r="1225" spans="1:12" ht="24">
      <c r="A1225" s="214"/>
      <c r="B1225" s="197"/>
      <c r="C1225" s="197"/>
      <c r="D1225" s="228"/>
      <c r="E1225" s="228"/>
      <c r="F1225" s="197"/>
      <c r="G1225" s="26" t="str">
        <f ca="1">IFERROR(__xludf.DUMMYFUNCTION("IF(I1320="""","""",FILTER(DATOS!$D$4:$D$237,DATOS!$B$4:$B$237=I1320))"),"07-164")</f>
        <v>07-164</v>
      </c>
      <c r="H1225" s="26" t="str">
        <f ca="1">IFERROR(__xludf.DUMMYFUNCTION("IF(I1320="""","""",FILTER(DATOS!$C$4:$C$237,DATOS!$B$4:$B$237=I1320))"),"BOSA")</f>
        <v>BOSA</v>
      </c>
      <c r="I1225" s="36" t="s">
        <v>85</v>
      </c>
      <c r="J1225" s="36" t="s">
        <v>516</v>
      </c>
      <c r="K1225" s="30">
        <v>3015000</v>
      </c>
      <c r="L1225" s="11"/>
    </row>
    <row r="1226" spans="1:12" ht="24">
      <c r="A1226" s="214"/>
      <c r="B1226" s="197"/>
      <c r="C1226" s="197"/>
      <c r="D1226" s="228"/>
      <c r="E1226" s="228"/>
      <c r="F1226" s="197"/>
      <c r="G1226" s="26" t="str">
        <f ca="1">IFERROR(__xludf.DUMMYFUNCTION("IF(I1321="""","""",FILTER(DATOS!$D$4:$D$237,DATOS!$B$4:$B$237=I1321))"),"07-165")</f>
        <v>07-165</v>
      </c>
      <c r="H1226" s="26" t="str">
        <f ca="1">IFERROR(__xludf.DUMMYFUNCTION("IF(I1321="""","""",FILTER(DATOS!$C$4:$C$237,DATOS!$B$4:$B$237=I1321))"),"BOSA")</f>
        <v>BOSA</v>
      </c>
      <c r="I1226" s="36" t="s">
        <v>107</v>
      </c>
      <c r="J1226" s="36" t="s">
        <v>516</v>
      </c>
      <c r="K1226" s="30">
        <v>2437800</v>
      </c>
      <c r="L1226" s="11"/>
    </row>
    <row r="1227" spans="1:12" ht="24">
      <c r="A1227" s="214"/>
      <c r="B1227" s="197"/>
      <c r="C1227" s="197"/>
      <c r="D1227" s="228"/>
      <c r="E1227" s="228"/>
      <c r="F1227" s="197"/>
      <c r="G1227" s="26" t="str">
        <f ca="1">IFERROR(__xludf.DUMMYFUNCTION("IF(I1322="""","""",FILTER(DATOS!$D$4:$D$237,DATOS!$B$4:$B$237=I1322))"),"07-260")</f>
        <v>07-260</v>
      </c>
      <c r="H1227" s="26" t="str">
        <f ca="1">IFERROR(__xludf.DUMMYFUNCTION("IF(I1322="""","""",FILTER(DATOS!$C$4:$C$237,DATOS!$B$4:$B$237=I1322))"),"BOSA")</f>
        <v>BOSA</v>
      </c>
      <c r="I1227" s="36" t="s">
        <v>84</v>
      </c>
      <c r="J1227" s="36" t="s">
        <v>516</v>
      </c>
      <c r="K1227" s="30">
        <v>1913361</v>
      </c>
      <c r="L1227" s="11"/>
    </row>
    <row r="1228" spans="1:12" ht="24">
      <c r="A1228" s="214"/>
      <c r="B1228" s="197"/>
      <c r="C1228" s="197"/>
      <c r="D1228" s="228"/>
      <c r="E1228" s="228"/>
      <c r="F1228" s="197"/>
      <c r="G1228" s="26" t="str">
        <f ca="1">IFERROR(__xludf.DUMMYFUNCTION("IF(I1323="""","""",FILTER(DATOS!$D$4:$D$237,DATOS!$B$4:$B$237=I1323))"),"07-274")</f>
        <v>07-274</v>
      </c>
      <c r="H1228" s="26" t="str">
        <f ca="1">IFERROR(__xludf.DUMMYFUNCTION("IF(I1323="""","""",FILTER(DATOS!$C$4:$C$237,DATOS!$B$4:$B$237=I1323))"),"BOSA")</f>
        <v>BOSA</v>
      </c>
      <c r="I1228" s="36" t="s">
        <v>130</v>
      </c>
      <c r="J1228" s="36" t="s">
        <v>516</v>
      </c>
      <c r="K1228" s="30">
        <v>2441420</v>
      </c>
      <c r="L1228" s="11"/>
    </row>
    <row r="1229" spans="1:12" ht="24">
      <c r="A1229" s="214"/>
      <c r="B1229" s="197"/>
      <c r="C1229" s="197"/>
      <c r="D1229" s="228"/>
      <c r="E1229" s="228"/>
      <c r="F1229" s="197"/>
      <c r="G1229" s="26" t="str">
        <f ca="1">IFERROR(__xludf.DUMMYFUNCTION("IF(I1324="""","""",FILTER(DATOS!$D$4:$D$237,DATOS!$B$4:$B$237=I1324))"),"07-391")</f>
        <v>07-391</v>
      </c>
      <c r="H1229" s="26" t="str">
        <f ca="1">IFERROR(__xludf.DUMMYFUNCTION("IF(I1324="""","""",FILTER(DATOS!$C$4:$C$237,DATOS!$B$4:$B$237=I1324))"),"BOSA")</f>
        <v>BOSA</v>
      </c>
      <c r="I1229" s="36" t="s">
        <v>119</v>
      </c>
      <c r="J1229" s="36" t="s">
        <v>516</v>
      </c>
      <c r="K1229" s="30">
        <v>812600</v>
      </c>
      <c r="L1229" s="11"/>
    </row>
    <row r="1230" spans="1:12" ht="24">
      <c r="A1230" s="214"/>
      <c r="B1230" s="197"/>
      <c r="C1230" s="197"/>
      <c r="D1230" s="228"/>
      <c r="E1230" s="228"/>
      <c r="F1230" s="197"/>
      <c r="G1230" s="26" t="str">
        <f ca="1">IFERROR(__xludf.DUMMYFUNCTION("IF(I1325="""","""",FILTER(DATOS!$D$4:$D$237,DATOS!$B$4:$B$237=I1325))"),"07-152")</f>
        <v>07-152</v>
      </c>
      <c r="H1230" s="26" t="str">
        <f ca="1">IFERROR(__xludf.DUMMYFUNCTION("IF(I1325="""","""",FILTER(DATOS!$C$4:$C$237,DATOS!$B$4:$B$237=I1325))"),"BOSA")</f>
        <v>BOSA</v>
      </c>
      <c r="I1230" s="36" t="s">
        <v>92</v>
      </c>
      <c r="J1230" s="36" t="s">
        <v>516</v>
      </c>
      <c r="K1230" s="30">
        <v>2490401</v>
      </c>
      <c r="L1230" s="11"/>
    </row>
    <row r="1231" spans="1:12" ht="24">
      <c r="A1231" s="214"/>
      <c r="B1231" s="197"/>
      <c r="C1231" s="197"/>
      <c r="D1231" s="228"/>
      <c r="E1231" s="228"/>
      <c r="F1231" s="197"/>
      <c r="G1231" s="26" t="str">
        <f ca="1">IFERROR(__xludf.DUMMYFUNCTION("IF(I1326="""","""",FILTER(DATOS!$D$4:$D$237,DATOS!$B$4:$B$237=I1326))"),"07-273")</f>
        <v>07-273</v>
      </c>
      <c r="H1231" s="26" t="str">
        <f ca="1">IFERROR(__xludf.DUMMYFUNCTION("IF(I1326="""","""",FILTER(DATOS!$C$4:$C$237,DATOS!$B$4:$B$237=I1326))"),"BOSA")</f>
        <v>BOSA</v>
      </c>
      <c r="I1231" s="36" t="s">
        <v>103</v>
      </c>
      <c r="J1231" s="36" t="s">
        <v>516</v>
      </c>
      <c r="K1231" s="30">
        <v>2437800</v>
      </c>
      <c r="L1231" s="11"/>
    </row>
    <row r="1232" spans="1:12" ht="24">
      <c r="A1232" s="214"/>
      <c r="B1232" s="197"/>
      <c r="C1232" s="197"/>
      <c r="D1232" s="228"/>
      <c r="E1232" s="228"/>
      <c r="F1232" s="197"/>
      <c r="G1232" s="26" t="str">
        <f ca="1">IFERROR(__xludf.DUMMYFUNCTION("IF(I1327="""","""",FILTER(DATOS!$D$4:$D$237,DATOS!$B$4:$B$237=I1327))"),"07-036")</f>
        <v>07-036</v>
      </c>
      <c r="H1232" s="26" t="str">
        <f ca="1">IFERROR(__xludf.DUMMYFUNCTION("IF(I1327="""","""",FILTER(DATOS!$C$4:$C$237,DATOS!$B$4:$B$237=I1327))"),"BOSA")</f>
        <v>BOSA</v>
      </c>
      <c r="I1232" s="36" t="s">
        <v>131</v>
      </c>
      <c r="J1232" s="36" t="s">
        <v>516</v>
      </c>
      <c r="K1232" s="30">
        <v>910350</v>
      </c>
      <c r="L1232" s="11"/>
    </row>
    <row r="1233" spans="1:12" ht="24">
      <c r="A1233" s="214"/>
      <c r="B1233" s="197"/>
      <c r="C1233" s="197"/>
      <c r="D1233" s="228"/>
      <c r="E1233" s="228"/>
      <c r="F1233" s="197"/>
      <c r="G1233" s="26" t="str">
        <f ca="1">IFERROR(__xludf.DUMMYFUNCTION("IF(I1328="""","""",FILTER(DATOS!$D$4:$D$237,DATOS!$B$4:$B$237=I1328))"),"08-034")</f>
        <v>08-034</v>
      </c>
      <c r="H1233" s="26" t="str">
        <f ca="1">IFERROR(__xludf.DUMMYFUNCTION("IF(I1328="""","""",FILTER(DATOS!$C$4:$C$237,DATOS!$B$4:$B$237=I1328))"),"KENNEDY")</f>
        <v>KENNEDY</v>
      </c>
      <c r="I1233" s="36" t="s">
        <v>118</v>
      </c>
      <c r="J1233" s="36" t="s">
        <v>516</v>
      </c>
      <c r="K1233" s="30">
        <v>2031500</v>
      </c>
      <c r="L1233" s="11"/>
    </row>
    <row r="1234" spans="1:12" ht="24">
      <c r="A1234" s="214"/>
      <c r="B1234" s="197"/>
      <c r="C1234" s="197"/>
      <c r="D1234" s="228"/>
      <c r="E1234" s="228"/>
      <c r="F1234" s="197"/>
      <c r="G1234" s="26" t="str">
        <f ca="1">IFERROR(__xludf.DUMMYFUNCTION("IF(I1330="""","""",FILTER(DATOS!$D$4:$D$237,DATOS!$B$4:$B$237=I1330))"),"08-144")</f>
        <v>08-144</v>
      </c>
      <c r="H1234" s="26" t="str">
        <f ca="1">IFERROR(__xludf.DUMMYFUNCTION("IF(I1330="""","""",FILTER(DATOS!$C$4:$C$237,DATOS!$B$4:$B$237=I1330))"),"KENNEDY")</f>
        <v>KENNEDY</v>
      </c>
      <c r="I1234" s="36" t="s">
        <v>81</v>
      </c>
      <c r="J1234" s="36" t="s">
        <v>516</v>
      </c>
      <c r="K1234" s="30">
        <v>812600</v>
      </c>
      <c r="L1234" s="11"/>
    </row>
    <row r="1235" spans="1:12" ht="24">
      <c r="A1235" s="214"/>
      <c r="B1235" s="197"/>
      <c r="C1235" s="197"/>
      <c r="D1235" s="228"/>
      <c r="E1235" s="228"/>
      <c r="F1235" s="197"/>
      <c r="G1235" s="26" t="str">
        <f ca="1">IFERROR(__xludf.DUMMYFUNCTION("IF(I1331="""","""",FILTER(DATOS!$D$4:$D$237,DATOS!$B$4:$B$237=I1331))"),"08-200")</f>
        <v>08-200</v>
      </c>
      <c r="H1235" s="26" t="str">
        <f ca="1">IFERROR(__xludf.DUMMYFUNCTION("IF(I1331="""","""",FILTER(DATOS!$C$4:$C$237,DATOS!$B$4:$B$237=I1331))"),"KENNEDY")</f>
        <v>KENNEDY</v>
      </c>
      <c r="I1235" s="36" t="s">
        <v>77</v>
      </c>
      <c r="J1235" s="36" t="s">
        <v>516</v>
      </c>
      <c r="K1235" s="30">
        <v>3381598</v>
      </c>
      <c r="L1235" s="11"/>
    </row>
    <row r="1236" spans="1:12" ht="24">
      <c r="A1236" s="214"/>
      <c r="B1236" s="197"/>
      <c r="C1236" s="197"/>
      <c r="D1236" s="228"/>
      <c r="E1236" s="228"/>
      <c r="F1236" s="197"/>
      <c r="G1236" s="26" t="str">
        <f ca="1">IFERROR(__xludf.DUMMYFUNCTION("IF(I1332="""","""",FILTER(DATOS!$D$4:$D$237,DATOS!$B$4:$B$237=I1332))"),"08-212")</f>
        <v>08-212</v>
      </c>
      <c r="H1236" s="26" t="str">
        <f ca="1">IFERROR(__xludf.DUMMYFUNCTION("IF(I1332="""","""",FILTER(DATOS!$C$4:$C$237,DATOS!$B$4:$B$237=I1332))"),"KENNEDY")</f>
        <v>KENNEDY</v>
      </c>
      <c r="I1236" s="36" t="s">
        <v>106</v>
      </c>
      <c r="J1236" s="36" t="s">
        <v>516</v>
      </c>
      <c r="K1236" s="30">
        <v>1100761</v>
      </c>
      <c r="L1236" s="11"/>
    </row>
    <row r="1237" spans="1:12" ht="24">
      <c r="A1237" s="214"/>
      <c r="B1237" s="197"/>
      <c r="C1237" s="197"/>
      <c r="D1237" s="228"/>
      <c r="E1237" s="228"/>
      <c r="F1237" s="197"/>
      <c r="G1237" s="26" t="str">
        <f ca="1">IFERROR(__xludf.DUMMYFUNCTION("IF(I1333="""","""",FILTER(DATOS!$D$4:$D$237,DATOS!$B$4:$B$237=I1333))"),"08-219")</f>
        <v>08-219</v>
      </c>
      <c r="H1237" s="26" t="str">
        <f ca="1">IFERROR(__xludf.DUMMYFUNCTION("IF(I1333="""","""",FILTER(DATOS!$C$4:$C$237,DATOS!$B$4:$B$237=I1333))"),"KENNEDY")</f>
        <v>KENNEDY</v>
      </c>
      <c r="I1237" s="36" t="s">
        <v>132</v>
      </c>
      <c r="J1237" s="36" t="s">
        <v>516</v>
      </c>
      <c r="K1237" s="30">
        <v>3900290</v>
      </c>
      <c r="L1237" s="11"/>
    </row>
    <row r="1238" spans="1:12" ht="24">
      <c r="A1238" s="214"/>
      <c r="B1238" s="197"/>
      <c r="C1238" s="197"/>
      <c r="D1238" s="228"/>
      <c r="E1238" s="228"/>
      <c r="F1238" s="197"/>
      <c r="G1238" s="26" t="str">
        <f ca="1">IFERROR(__xludf.DUMMYFUNCTION("IF(I1334="""","""",FILTER(DATOS!$D$4:$D$237,DATOS!$B$4:$B$237=I1334))"),"08-241")</f>
        <v>08-241</v>
      </c>
      <c r="H1238" s="26" t="str">
        <f ca="1">IFERROR(__xludf.DUMMYFUNCTION("IF(I1334="""","""",FILTER(DATOS!$C$4:$C$237,DATOS!$B$4:$B$237=I1334))"),"KENNEDY")</f>
        <v>KENNEDY</v>
      </c>
      <c r="I1238" s="36" t="s">
        <v>78</v>
      </c>
      <c r="J1238" s="36" t="s">
        <v>516</v>
      </c>
      <c r="K1238" s="30">
        <v>5824540</v>
      </c>
      <c r="L1238" s="11"/>
    </row>
    <row r="1239" spans="1:12" ht="24">
      <c r="A1239" s="214"/>
      <c r="B1239" s="197"/>
      <c r="C1239" s="197"/>
      <c r="D1239" s="228"/>
      <c r="E1239" s="228"/>
      <c r="F1239" s="197"/>
      <c r="G1239" s="26" t="str">
        <f ca="1">IFERROR(__xludf.DUMMYFUNCTION("IF(I1335="""","""",FILTER(DATOS!$D$4:$D$237,DATOS!$B$4:$B$237=I1335))"),"08-355")</f>
        <v>08-355</v>
      </c>
      <c r="H1239" s="26" t="str">
        <f ca="1">IFERROR(__xludf.DUMMYFUNCTION("IF(I1335="""","""",FILTER(DATOS!$C$4:$C$237,DATOS!$B$4:$B$237=I1335))"),"KENNEDY")</f>
        <v>KENNEDY</v>
      </c>
      <c r="I1239" s="36" t="s">
        <v>100</v>
      </c>
      <c r="J1239" s="36" t="s">
        <v>516</v>
      </c>
      <c r="K1239" s="30">
        <v>2412000</v>
      </c>
      <c r="L1239" s="11"/>
    </row>
    <row r="1240" spans="1:12" ht="24">
      <c r="A1240" s="214"/>
      <c r="B1240" s="197"/>
      <c r="C1240" s="197"/>
      <c r="D1240" s="228"/>
      <c r="E1240" s="228"/>
      <c r="F1240" s="197"/>
      <c r="G1240" s="26" t="str">
        <f ca="1">IFERROR(__xludf.DUMMYFUNCTION("IF(I1336="""","""",FILTER(DATOS!$D$4:$D$237,DATOS!$B$4:$B$237=I1336))"),"08-552")</f>
        <v>08-552</v>
      </c>
      <c r="H1240" s="26" t="str">
        <f ca="1">IFERROR(__xludf.DUMMYFUNCTION("IF(I1336="""","""",FILTER(DATOS!$C$4:$C$237,DATOS!$B$4:$B$237=I1336))"),"KENNEDY")</f>
        <v>KENNEDY</v>
      </c>
      <c r="I1240" s="36" t="s">
        <v>97</v>
      </c>
      <c r="J1240" s="36" t="s">
        <v>516</v>
      </c>
      <c r="K1240" s="30">
        <v>2412000</v>
      </c>
      <c r="L1240" s="11"/>
    </row>
    <row r="1241" spans="1:12" ht="24">
      <c r="A1241" s="214"/>
      <c r="B1241" s="197"/>
      <c r="C1241" s="197"/>
      <c r="D1241" s="228"/>
      <c r="E1241" s="228"/>
      <c r="F1241" s="197"/>
      <c r="G1241" s="26" t="str">
        <f ca="1">IFERROR(__xludf.DUMMYFUNCTION("IF(I1337="""","""",FILTER(DATOS!$D$4:$D$237,DATOS!$B$4:$B$237=I1337))"),"08-791")</f>
        <v>08-791</v>
      </c>
      <c r="H1241" s="26" t="str">
        <f ca="1">IFERROR(__xludf.DUMMYFUNCTION("IF(I1337="""","""",FILTER(DATOS!$C$4:$C$237,DATOS!$B$4:$B$237=I1337))"),"KENNEDY")</f>
        <v>KENNEDY</v>
      </c>
      <c r="I1241" s="36" t="s">
        <v>125</v>
      </c>
      <c r="J1241" s="36" t="s">
        <v>516</v>
      </c>
      <c r="K1241" s="30">
        <v>812600</v>
      </c>
      <c r="L1241" s="11"/>
    </row>
    <row r="1242" spans="1:12" ht="24">
      <c r="A1242" s="214"/>
      <c r="B1242" s="197"/>
      <c r="C1242" s="197"/>
      <c r="D1242" s="228"/>
      <c r="E1242" s="228"/>
      <c r="F1242" s="197"/>
      <c r="G1242" s="26" t="str">
        <f ca="1">IFERROR(__xludf.DUMMYFUNCTION("IF(I1338="""","""",FILTER(DATOS!$D$4:$D$237,DATOS!$B$4:$B$237=I1338))"),"08-066")</f>
        <v>08-066</v>
      </c>
      <c r="H1242" s="26" t="str">
        <f ca="1">IFERROR(__xludf.DUMMYFUNCTION("IF(I1338="""","""",FILTER(DATOS!$C$4:$C$237,DATOS!$B$4:$B$237=I1338))"),"KENNEDY")</f>
        <v>KENNEDY</v>
      </c>
      <c r="I1242" s="36" t="s">
        <v>110</v>
      </c>
      <c r="J1242" s="36" t="s">
        <v>516</v>
      </c>
      <c r="K1242" s="30">
        <v>812600</v>
      </c>
      <c r="L1242" s="11"/>
    </row>
    <row r="1243" spans="1:12" ht="24">
      <c r="A1243" s="214"/>
      <c r="B1243" s="197"/>
      <c r="C1243" s="197"/>
      <c r="D1243" s="228"/>
      <c r="E1243" s="228"/>
      <c r="F1243" s="197"/>
      <c r="G1243" s="26" t="str">
        <f ca="1">IFERROR(__xludf.DUMMYFUNCTION("IF(I1339="""","""",FILTER(DATOS!$D$4:$D$237,DATOS!$B$4:$B$237=I1339))"),"08-554")</f>
        <v>08-554</v>
      </c>
      <c r="H1243" s="26" t="str">
        <f ca="1">IFERROR(__xludf.DUMMYFUNCTION("IF(I1339="""","""",FILTER(DATOS!$C$4:$C$237,DATOS!$B$4:$B$237=I1339))"),"KENNEDY")</f>
        <v>KENNEDY</v>
      </c>
      <c r="I1243" s="36" t="s">
        <v>90</v>
      </c>
      <c r="J1243" s="36" t="s">
        <v>516</v>
      </c>
      <c r="K1243" s="30">
        <v>4502900</v>
      </c>
      <c r="L1243" s="11"/>
    </row>
    <row r="1244" spans="1:12" ht="24">
      <c r="A1244" s="214"/>
      <c r="B1244" s="197"/>
      <c r="C1244" s="197"/>
      <c r="D1244" s="228"/>
      <c r="E1244" s="228"/>
      <c r="F1244" s="197"/>
      <c r="G1244" s="26" t="str">
        <f ca="1">IFERROR(__xludf.DUMMYFUNCTION("IF(I1340="""","""",FILTER(DATOS!$D$4:$D$237,DATOS!$B$4:$B$237=I1340))"),"09-020")</f>
        <v>09-020</v>
      </c>
      <c r="H1244" s="26" t="str">
        <f ca="1">IFERROR(__xludf.DUMMYFUNCTION("IF(I1340="""","""",FILTER(DATOS!$C$4:$C$237,DATOS!$B$4:$B$237=I1340))"),"FONTIBON")</f>
        <v>FONTIBON</v>
      </c>
      <c r="I1244" s="36" t="s">
        <v>251</v>
      </c>
      <c r="J1244" s="36" t="s">
        <v>516</v>
      </c>
      <c r="K1244" s="30">
        <v>812600</v>
      </c>
      <c r="L1244" s="11"/>
    </row>
    <row r="1245" spans="1:12" ht="24">
      <c r="A1245" s="214"/>
      <c r="B1245" s="197"/>
      <c r="C1245" s="197"/>
      <c r="D1245" s="228"/>
      <c r="E1245" s="228"/>
      <c r="F1245" s="197"/>
      <c r="G1245" s="26" t="str">
        <f ca="1">IFERROR(__xludf.DUMMYFUNCTION("IF(I1341="""","""",FILTER(DATOS!$D$4:$D$237,DATOS!$B$4:$B$237=I1341))"),"09-104")</f>
        <v>09-104</v>
      </c>
      <c r="H1245" s="26" t="str">
        <f ca="1">IFERROR(__xludf.DUMMYFUNCTION("IF(I1341="""","""",FILTER(DATOS!$C$4:$C$237,DATOS!$B$4:$B$237=I1341))"),"FONTIBON")</f>
        <v>FONTIBON</v>
      </c>
      <c r="I1245" s="36" t="s">
        <v>21</v>
      </c>
      <c r="J1245" s="36" t="s">
        <v>516</v>
      </c>
      <c r="K1245" s="30">
        <v>6030000</v>
      </c>
      <c r="L1245" s="11"/>
    </row>
    <row r="1246" spans="1:12" ht="24">
      <c r="A1246" s="214"/>
      <c r="B1246" s="197"/>
      <c r="C1246" s="197"/>
      <c r="D1246" s="228"/>
      <c r="E1246" s="228"/>
      <c r="F1246" s="197"/>
      <c r="G1246" s="26" t="str">
        <f ca="1">IFERROR(__xludf.DUMMYFUNCTION("IF(I1342="""","""",FILTER(DATOS!$D$4:$D$237,DATOS!$B$4:$B$237=I1342))"),"09-111")</f>
        <v>09-111</v>
      </c>
      <c r="H1246" s="26" t="str">
        <f ca="1">IFERROR(__xludf.DUMMYFUNCTION("IF(I1342="""","""",FILTER(DATOS!$C$4:$C$237,DATOS!$B$4:$B$237=I1342))"),"FONTIBON")</f>
        <v>FONTIBON</v>
      </c>
      <c r="I1246" s="36" t="s">
        <v>57</v>
      </c>
      <c r="J1246" s="36" t="s">
        <v>516</v>
      </c>
      <c r="K1246" s="30">
        <v>3784550</v>
      </c>
      <c r="L1246" s="11"/>
    </row>
    <row r="1247" spans="1:12" ht="24">
      <c r="A1247" s="214"/>
      <c r="B1247" s="197"/>
      <c r="C1247" s="197"/>
      <c r="D1247" s="228"/>
      <c r="E1247" s="228"/>
      <c r="F1247" s="197"/>
      <c r="G1247" s="26" t="str">
        <f ca="1">IFERROR(__xludf.DUMMYFUNCTION("IF(I1343="""","""",FILTER(DATOS!$D$4:$D$237,DATOS!$B$4:$B$237=I1343))"),"09-125")</f>
        <v>09-125</v>
      </c>
      <c r="H1247" s="26" t="str">
        <f ca="1">IFERROR(__xludf.DUMMYFUNCTION("IF(I1343="""","""",FILTER(DATOS!$C$4:$C$237,DATOS!$B$4:$B$237=I1343))"),"FONTIBON")</f>
        <v>FONTIBON</v>
      </c>
      <c r="I1247" s="36" t="s">
        <v>67</v>
      </c>
      <c r="J1247" s="36" t="s">
        <v>516</v>
      </c>
      <c r="K1247" s="30">
        <v>4484910</v>
      </c>
      <c r="L1247" s="11"/>
    </row>
    <row r="1248" spans="1:12" ht="24">
      <c r="A1248" s="214"/>
      <c r="B1248" s="197"/>
      <c r="C1248" s="197"/>
      <c r="D1248" s="228"/>
      <c r="E1248" s="228"/>
      <c r="F1248" s="197"/>
      <c r="G1248" s="26" t="str">
        <f ca="1">IFERROR(__xludf.DUMMYFUNCTION("IF(I1344="""","""",FILTER(DATOS!$D$4:$D$237,DATOS!$B$4:$B$237=I1344))"),"10-018")</f>
        <v>10-018</v>
      </c>
      <c r="H1248" s="26" t="str">
        <f ca="1">IFERROR(__xludf.DUMMYFUNCTION("IF(I1344="""","""",FILTER(DATOS!$C$4:$C$237,DATOS!$B$4:$B$237=I1344))"),"ENGATIVA")</f>
        <v>ENGATIVA</v>
      </c>
      <c r="I1248" s="36" t="s">
        <v>64</v>
      </c>
      <c r="J1248" s="36" t="s">
        <v>516</v>
      </c>
      <c r="K1248" s="30">
        <v>1100761</v>
      </c>
      <c r="L1248" s="11"/>
    </row>
    <row r="1249" spans="1:12" ht="24">
      <c r="A1249" s="214"/>
      <c r="B1249" s="197"/>
      <c r="C1249" s="197"/>
      <c r="D1249" s="228"/>
      <c r="E1249" s="228"/>
      <c r="F1249" s="197"/>
      <c r="G1249" s="26" t="str">
        <f ca="1">IFERROR(__xludf.DUMMYFUNCTION("IF(I1345="""","""",FILTER(DATOS!$D$4:$D$237,DATOS!$B$4:$B$237=I1345))"),"10-102")</f>
        <v>10-102</v>
      </c>
      <c r="H1249" s="26" t="str">
        <f ca="1">IFERROR(__xludf.DUMMYFUNCTION("IF(I1345="""","""",FILTER(DATOS!$C$4:$C$237,DATOS!$B$4:$B$237=I1345))"),"ENGATIVA")</f>
        <v>ENGATIVA</v>
      </c>
      <c r="I1249" s="36" t="s">
        <v>65</v>
      </c>
      <c r="J1249" s="36" t="s">
        <v>516</v>
      </c>
      <c r="K1249" s="30">
        <v>812600</v>
      </c>
      <c r="L1249" s="11"/>
    </row>
    <row r="1250" spans="1:12" ht="24">
      <c r="A1250" s="214"/>
      <c r="B1250" s="197"/>
      <c r="C1250" s="197"/>
      <c r="D1250" s="228"/>
      <c r="E1250" s="228"/>
      <c r="F1250" s="197"/>
      <c r="G1250" s="26" t="str">
        <f ca="1">IFERROR(__xludf.DUMMYFUNCTION("IF(I1346="""","""",FILTER(DATOS!$D$4:$D$237,DATOS!$B$4:$B$237=I1346))"),"10-169")</f>
        <v>10-169</v>
      </c>
      <c r="H1250" s="26" t="str">
        <f ca="1">IFERROR(__xludf.DUMMYFUNCTION("IF(I1346="""","""",FILTER(DATOS!$C$4:$C$237,DATOS!$B$4:$B$237=I1346))"),"ENGATIVA")</f>
        <v>ENGATIVA</v>
      </c>
      <c r="I1250" s="36" t="s">
        <v>30</v>
      </c>
      <c r="J1250" s="36" t="s">
        <v>516</v>
      </c>
      <c r="K1250" s="30">
        <v>982322</v>
      </c>
      <c r="L1250" s="11"/>
    </row>
    <row r="1251" spans="1:12" ht="24">
      <c r="A1251" s="214"/>
      <c r="B1251" s="197"/>
      <c r="C1251" s="197"/>
      <c r="D1251" s="228"/>
      <c r="E1251" s="228"/>
      <c r="F1251" s="197"/>
      <c r="G1251" s="26" t="str">
        <f ca="1">IFERROR(__xludf.DUMMYFUNCTION("IF(I1347="""","""",FILTER(DATOS!$D$4:$D$237,DATOS!$B$4:$B$237=I1347))"),"10-171")</f>
        <v>10-171</v>
      </c>
      <c r="H1251" s="26" t="str">
        <f ca="1">IFERROR(__xludf.DUMMYFUNCTION("IF(I1347="""","""",FILTER(DATOS!$C$4:$C$237,DATOS!$B$4:$B$237=I1347))"),"ENGATIVA")</f>
        <v>ENGATIVA</v>
      </c>
      <c r="I1251" s="36" t="s">
        <v>37</v>
      </c>
      <c r="J1251" s="36" t="s">
        <v>516</v>
      </c>
      <c r="K1251" s="30">
        <v>2633300</v>
      </c>
      <c r="L1251" s="11"/>
    </row>
    <row r="1252" spans="1:12" ht="24">
      <c r="A1252" s="214"/>
      <c r="B1252" s="197"/>
      <c r="C1252" s="197"/>
      <c r="D1252" s="228"/>
      <c r="E1252" s="228"/>
      <c r="F1252" s="197"/>
      <c r="G1252" s="26" t="str">
        <f ca="1">IFERROR(__xludf.DUMMYFUNCTION("IF(I1348="""","""",FILTER(DATOS!$D$4:$D$237,DATOS!$B$4:$B$237=I1348))"),"10-192")</f>
        <v>10-192</v>
      </c>
      <c r="H1252" s="26" t="str">
        <f ca="1">IFERROR(__xludf.DUMMYFUNCTION("IF(I1348="""","""",FILTER(DATOS!$C$4:$C$237,DATOS!$B$4:$B$237=I1348))"),"ENGATIVA")</f>
        <v>ENGATIVA</v>
      </c>
      <c r="I1252" s="36" t="s">
        <v>33</v>
      </c>
      <c r="J1252" s="36" t="s">
        <v>516</v>
      </c>
      <c r="K1252" s="30">
        <v>1100761</v>
      </c>
      <c r="L1252" s="11"/>
    </row>
    <row r="1253" spans="1:12" ht="24">
      <c r="A1253" s="214"/>
      <c r="B1253" s="197"/>
      <c r="C1253" s="197"/>
      <c r="D1253" s="228"/>
      <c r="E1253" s="228"/>
      <c r="F1253" s="197"/>
      <c r="G1253" s="26" t="str">
        <f ca="1">IFERROR(__xludf.DUMMYFUNCTION("IF(I1349="""","""",FILTER(DATOS!$D$4:$D$237,DATOS!$B$4:$B$237=I1349))"),"10-215")</f>
        <v>10-215</v>
      </c>
      <c r="H1253" s="26" t="str">
        <f ca="1">IFERROR(__xludf.DUMMYFUNCTION("IF(I1349="""","""",FILTER(DATOS!$C$4:$C$237,DATOS!$B$4:$B$237=I1349))"),"ENGATIVA")</f>
        <v>ENGATIVA</v>
      </c>
      <c r="I1253" s="36" t="s">
        <v>22</v>
      </c>
      <c r="J1253" s="36" t="s">
        <v>516</v>
      </c>
      <c r="K1253" s="30">
        <v>812600</v>
      </c>
      <c r="L1253" s="11"/>
    </row>
    <row r="1254" spans="1:12" ht="24">
      <c r="A1254" s="214"/>
      <c r="B1254" s="197"/>
      <c r="C1254" s="197"/>
      <c r="D1254" s="228"/>
      <c r="E1254" s="228"/>
      <c r="F1254" s="197"/>
      <c r="G1254" s="26" t="str">
        <f ca="1">IFERROR(__xludf.DUMMYFUNCTION("IF(I1350="""","""",FILTER(DATOS!$D$4:$D$237,DATOS!$B$4:$B$237=I1350))"),"10-223")</f>
        <v>10-223</v>
      </c>
      <c r="H1254" s="26" t="str">
        <f ca="1">IFERROR(__xludf.DUMMYFUNCTION("IF(I1350="""","""",FILTER(DATOS!$C$4:$C$237,DATOS!$B$4:$B$237=I1350))"),"ENGATIVA")</f>
        <v>ENGATIVA</v>
      </c>
      <c r="I1254" s="36" t="s">
        <v>41</v>
      </c>
      <c r="J1254" s="36" t="s">
        <v>516</v>
      </c>
      <c r="K1254" s="30">
        <v>3015000</v>
      </c>
      <c r="L1254" s="11"/>
    </row>
    <row r="1255" spans="1:12" ht="24">
      <c r="A1255" s="214"/>
      <c r="B1255" s="197"/>
      <c r="C1255" s="197"/>
      <c r="D1255" s="228"/>
      <c r="E1255" s="228"/>
      <c r="F1255" s="197"/>
      <c r="G1255" s="26" t="str">
        <f ca="1">IFERROR(__xludf.DUMMYFUNCTION("IF(I1351="""","""",FILTER(DATOS!$D$4:$D$237,DATOS!$B$4:$B$237=I1351))"),"10-234")</f>
        <v>10-234</v>
      </c>
      <c r="H1255" s="26" t="str">
        <f ca="1">IFERROR(__xludf.DUMMYFUNCTION("IF(I1351="""","""",FILTER(DATOS!$C$4:$C$237,DATOS!$B$4:$B$237=I1351))"),"ENGATIVA")</f>
        <v>ENGATIVA</v>
      </c>
      <c r="I1255" s="36" t="s">
        <v>56</v>
      </c>
      <c r="J1255" s="36" t="s">
        <v>516</v>
      </c>
      <c r="K1255" s="30">
        <v>6057130</v>
      </c>
      <c r="L1255" s="11"/>
    </row>
    <row r="1256" spans="1:12" ht="24">
      <c r="A1256" s="214"/>
      <c r="B1256" s="197"/>
      <c r="C1256" s="197"/>
      <c r="D1256" s="228"/>
      <c r="E1256" s="228"/>
      <c r="F1256" s="197"/>
      <c r="G1256" s="26" t="str">
        <f ca="1">IFERROR(__xludf.DUMMYFUNCTION("IF(I1352="""","""",FILTER(DATOS!$D$4:$D$237,DATOS!$B$4:$B$237=I1352))"),"10-290")</f>
        <v>10-290</v>
      </c>
      <c r="H1256" s="26" t="str">
        <f ca="1">IFERROR(__xludf.DUMMYFUNCTION("IF(I1352="""","""",FILTER(DATOS!$C$4:$C$237,DATOS!$B$4:$B$237=I1352))"),"ENGATIVA")</f>
        <v>ENGATIVA</v>
      </c>
      <c r="I1256" s="36" t="s">
        <v>62</v>
      </c>
      <c r="J1256" s="36" t="s">
        <v>516</v>
      </c>
      <c r="K1256" s="30">
        <v>15831155</v>
      </c>
      <c r="L1256" s="11"/>
    </row>
    <row r="1257" spans="1:12" ht="24">
      <c r="A1257" s="214"/>
      <c r="B1257" s="197"/>
      <c r="C1257" s="197"/>
      <c r="D1257" s="228"/>
      <c r="E1257" s="228"/>
      <c r="F1257" s="197"/>
      <c r="G1257" s="26" t="str">
        <f ca="1">IFERROR(__xludf.DUMMYFUNCTION("IF(I1353="""","""",FILTER(DATOS!$D$4:$D$237,DATOS!$B$4:$B$237=I1353))"),"10-311")</f>
        <v>10-311</v>
      </c>
      <c r="H1257" s="26" t="str">
        <f ca="1">IFERROR(__xludf.DUMMYFUNCTION("IF(I1353="""","""",FILTER(DATOS!$C$4:$C$237,DATOS!$B$4:$B$237=I1353))"),"ENGATIVA")</f>
        <v>ENGATIVA</v>
      </c>
      <c r="I1257" s="36" t="s">
        <v>38</v>
      </c>
      <c r="J1257" s="36" t="s">
        <v>516</v>
      </c>
      <c r="K1257" s="30">
        <v>9122036</v>
      </c>
      <c r="L1257" s="11"/>
    </row>
    <row r="1258" spans="1:12" ht="24">
      <c r="A1258" s="214"/>
      <c r="B1258" s="197"/>
      <c r="C1258" s="197"/>
      <c r="D1258" s="228"/>
      <c r="E1258" s="228"/>
      <c r="F1258" s="197"/>
      <c r="G1258" s="26" t="str">
        <f ca="1">IFERROR(__xludf.DUMMYFUNCTION("IF(I1356="""","""",FILTER(DATOS!$D$4:$D$237,DATOS!$B$4:$B$237=I1356))"),"11-078")</f>
        <v>11-078</v>
      </c>
      <c r="H1258" s="26" t="str">
        <f ca="1">IFERROR(__xludf.DUMMYFUNCTION("IF(I1356="""","""",FILTER(DATOS!$C$4:$C$237,DATOS!$B$4:$B$237=I1356))"),"SUBA")</f>
        <v>SUBA</v>
      </c>
      <c r="I1258" s="36" t="s">
        <v>149</v>
      </c>
      <c r="J1258" s="36" t="s">
        <v>516</v>
      </c>
      <c r="K1258" s="30">
        <v>1463945</v>
      </c>
      <c r="L1258" s="11"/>
    </row>
    <row r="1259" spans="1:12" ht="24">
      <c r="A1259" s="214"/>
      <c r="B1259" s="197"/>
      <c r="C1259" s="197"/>
      <c r="D1259" s="228"/>
      <c r="E1259" s="228"/>
      <c r="F1259" s="197"/>
      <c r="G1259" s="26" t="str">
        <f ca="1">IFERROR(__xludf.DUMMYFUNCTION("IF(I1357="""","""",FILTER(DATOS!$D$4:$D$237,DATOS!$B$4:$B$237=I1357))"),"11-205")</f>
        <v>11-205</v>
      </c>
      <c r="H1259" s="26" t="str">
        <f ca="1">IFERROR(__xludf.DUMMYFUNCTION("IF(I1357="""","""",FILTER(DATOS!$C$4:$C$237,DATOS!$B$4:$B$237=I1357))"),"SUBA")</f>
        <v>SUBA</v>
      </c>
      <c r="I1259" s="36" t="s">
        <v>39</v>
      </c>
      <c r="J1259" s="36" t="s">
        <v>516</v>
      </c>
      <c r="K1259" s="30">
        <v>5798798</v>
      </c>
      <c r="L1259" s="11"/>
    </row>
    <row r="1260" spans="1:12" ht="24">
      <c r="A1260" s="214"/>
      <c r="B1260" s="197"/>
      <c r="C1260" s="197"/>
      <c r="D1260" s="228"/>
      <c r="E1260" s="228"/>
      <c r="F1260" s="197"/>
      <c r="G1260" s="26" t="str">
        <f ca="1">IFERROR(__xludf.DUMMYFUNCTION("IF(I1358="""","""",FILTER(DATOS!$D$4:$D$237,DATOS!$B$4:$B$237=I1358))"),"11-212")</f>
        <v>11-212</v>
      </c>
      <c r="H1260" s="26" t="str">
        <f ca="1">IFERROR(__xludf.DUMMYFUNCTION("IF(I1358="""","""",FILTER(DATOS!$C$4:$C$237,DATOS!$B$4:$B$237=I1358))"),"SUBA")</f>
        <v>SUBA</v>
      </c>
      <c r="I1260" s="36" t="s">
        <v>27</v>
      </c>
      <c r="J1260" s="36" t="s">
        <v>516</v>
      </c>
      <c r="K1260" s="30">
        <v>3550460</v>
      </c>
      <c r="L1260" s="11"/>
    </row>
    <row r="1261" spans="1:12" ht="24">
      <c r="A1261" s="214"/>
      <c r="B1261" s="197"/>
      <c r="C1261" s="197"/>
      <c r="D1261" s="228"/>
      <c r="E1261" s="228"/>
      <c r="F1261" s="197"/>
      <c r="G1261" s="26" t="str">
        <f ca="1">IFERROR(__xludf.DUMMYFUNCTION("IF(I1359="""","""",FILTER(DATOS!$D$4:$D$237,DATOS!$B$4:$B$237=I1359))"),"11-368")</f>
        <v>11-368</v>
      </c>
      <c r="H1261" s="26" t="str">
        <f ca="1">IFERROR(__xludf.DUMMYFUNCTION("IF(I1359="""","""",FILTER(DATOS!$C$4:$C$237,DATOS!$B$4:$B$237=I1359))"),"SUBA")</f>
        <v>SUBA</v>
      </c>
      <c r="I1261" s="36" t="s">
        <v>34</v>
      </c>
      <c r="J1261" s="36" t="s">
        <v>516</v>
      </c>
      <c r="K1261" s="30">
        <v>11309281</v>
      </c>
      <c r="L1261" s="11"/>
    </row>
    <row r="1262" spans="1:12" ht="24">
      <c r="A1262" s="214"/>
      <c r="B1262" s="197"/>
      <c r="C1262" s="197"/>
      <c r="D1262" s="228"/>
      <c r="E1262" s="228"/>
      <c r="F1262" s="197"/>
      <c r="G1262" s="26" t="str">
        <f ca="1">IFERROR(__xludf.DUMMYFUNCTION("IF(I1360="""","""",FILTER(DATOS!$D$4:$D$237,DATOS!$B$4:$B$237=I1360))"),"11-368")</f>
        <v>11-368</v>
      </c>
      <c r="H1262" s="26" t="str">
        <f ca="1">IFERROR(__xludf.DUMMYFUNCTION("IF(I1360="""","""",FILTER(DATOS!$C$4:$C$237,DATOS!$B$4:$B$237=I1360))"),"SUBA")</f>
        <v>SUBA</v>
      </c>
      <c r="I1262" s="36" t="s">
        <v>35</v>
      </c>
      <c r="J1262" s="36" t="s">
        <v>516</v>
      </c>
      <c r="K1262" s="30">
        <v>3852200</v>
      </c>
      <c r="L1262" s="11"/>
    </row>
    <row r="1263" spans="1:12" ht="24">
      <c r="A1263" s="214"/>
      <c r="B1263" s="197"/>
      <c r="C1263" s="197"/>
      <c r="D1263" s="228"/>
      <c r="E1263" s="228"/>
      <c r="F1263" s="197"/>
      <c r="G1263" s="26" t="str">
        <f ca="1">IFERROR(__xludf.DUMMYFUNCTION("IF(I1362="""","""",FILTER(DATOS!$D$4:$D$237,DATOS!$B$4:$B$237=I1362))"),"11-069")</f>
        <v>11-069</v>
      </c>
      <c r="H1263" s="26" t="str">
        <f ca="1">IFERROR(__xludf.DUMMYFUNCTION("IF(I1362="""","""",FILTER(DATOS!$C$4:$C$237,DATOS!$B$4:$B$237=I1362))"),"SUBA")</f>
        <v>SUBA</v>
      </c>
      <c r="I1263" s="36" t="s">
        <v>26</v>
      </c>
      <c r="J1263" s="36" t="s">
        <v>516</v>
      </c>
      <c r="K1263" s="30">
        <v>2412000</v>
      </c>
      <c r="L1263" s="11"/>
    </row>
    <row r="1264" spans="1:12" ht="24">
      <c r="A1264" s="214"/>
      <c r="B1264" s="197"/>
      <c r="C1264" s="197"/>
      <c r="D1264" s="228"/>
      <c r="E1264" s="228"/>
      <c r="F1264" s="197"/>
      <c r="G1264" s="26" t="str">
        <f ca="1">IFERROR(__xludf.DUMMYFUNCTION("IF(I1363="""","""",FILTER(DATOS!$D$4:$D$237,DATOS!$B$4:$B$237=I1363))"),"11-204")</f>
        <v>11-204</v>
      </c>
      <c r="H1264" s="26" t="str">
        <f ca="1">IFERROR(__xludf.DUMMYFUNCTION("IF(I1363="""","""",FILTER(DATOS!$C$4:$C$237,DATOS!$B$4:$B$237=I1363))"),"SUBA")</f>
        <v>SUBA</v>
      </c>
      <c r="I1264" s="36" t="s">
        <v>42</v>
      </c>
      <c r="J1264" s="36" t="s">
        <v>516</v>
      </c>
      <c r="K1264" s="30">
        <v>812600</v>
      </c>
      <c r="L1264" s="11"/>
    </row>
    <row r="1265" spans="1:12" ht="24">
      <c r="A1265" s="214"/>
      <c r="B1265" s="197"/>
      <c r="C1265" s="197"/>
      <c r="D1265" s="228"/>
      <c r="E1265" s="228"/>
      <c r="F1265" s="197"/>
      <c r="G1265" s="26" t="str">
        <f ca="1">IFERROR(__xludf.DUMMYFUNCTION("IF(I1364="""","""",FILTER(DATOS!$D$4:$D$237,DATOS!$B$4:$B$237=I1364))"),"11-204")</f>
        <v>11-204</v>
      </c>
      <c r="H1265" s="26" t="str">
        <f ca="1">IFERROR(__xludf.DUMMYFUNCTION("IF(I1364="""","""",FILTER(DATOS!$C$4:$C$237,DATOS!$B$4:$B$237=I1364))"),"SUBA")</f>
        <v>SUBA</v>
      </c>
      <c r="I1265" s="36" t="s">
        <v>68</v>
      </c>
      <c r="J1265" s="36" t="s">
        <v>516</v>
      </c>
      <c r="K1265" s="30">
        <v>5143050</v>
      </c>
      <c r="L1265" s="11"/>
    </row>
    <row r="1266" spans="1:12" ht="24">
      <c r="A1266" s="214"/>
      <c r="B1266" s="197"/>
      <c r="C1266" s="197"/>
      <c r="D1266" s="228"/>
      <c r="E1266" s="228"/>
      <c r="F1266" s="197"/>
      <c r="G1266" s="26" t="str">
        <f ca="1">IFERROR(__xludf.DUMMYFUNCTION("IF(I1365="""","""",FILTER(DATOS!$D$4:$D$237,DATOS!$B$4:$B$237=I1365))"),"12-015")</f>
        <v>12-015</v>
      </c>
      <c r="H1266" s="26" t="str">
        <f ca="1">IFERROR(__xludf.DUMMYFUNCTION("IF(I1365="""","""",FILTER(DATOS!$C$4:$C$237,DATOS!$B$4:$B$237=I1365))"),"BARRIOS UNIDOS")</f>
        <v>BARRIOS UNIDOS</v>
      </c>
      <c r="I1266" s="36" t="s">
        <v>19</v>
      </c>
      <c r="J1266" s="36" t="s">
        <v>516</v>
      </c>
      <c r="K1266" s="30">
        <v>2412000</v>
      </c>
      <c r="L1266" s="11"/>
    </row>
    <row r="1267" spans="1:12" ht="24">
      <c r="A1267" s="214"/>
      <c r="B1267" s="197"/>
      <c r="C1267" s="197"/>
      <c r="D1267" s="228"/>
      <c r="E1267" s="228"/>
      <c r="F1267" s="197"/>
      <c r="G1267" s="26" t="str">
        <f ca="1">IFERROR(__xludf.DUMMYFUNCTION("IF(I1366="""","""",FILTER(DATOS!$D$4:$D$237,DATOS!$B$4:$B$237=I1366))"),"12-023")</f>
        <v>12-023</v>
      </c>
      <c r="H1267" s="26" t="str">
        <f ca="1">IFERROR(__xludf.DUMMYFUNCTION("IF(I1366="""","""",FILTER(DATOS!$C$4:$C$237,DATOS!$B$4:$B$237=I1366))"),"BARRIOS UNIDOS")</f>
        <v>BARRIOS UNIDOS</v>
      </c>
      <c r="I1267" s="36" t="s">
        <v>36</v>
      </c>
      <c r="J1267" s="36" t="s">
        <v>516</v>
      </c>
      <c r="K1267" s="30">
        <v>812600</v>
      </c>
      <c r="L1267" s="11"/>
    </row>
    <row r="1268" spans="1:12" ht="24">
      <c r="A1268" s="214"/>
      <c r="B1268" s="197"/>
      <c r="C1268" s="197"/>
      <c r="D1268" s="228"/>
      <c r="E1268" s="228"/>
      <c r="F1268" s="197"/>
      <c r="G1268" s="26" t="str">
        <f ca="1">IFERROR(__xludf.DUMMYFUNCTION("IF(I1367="""","""",FILTER(DATOS!$D$4:$D$237,DATOS!$B$4:$B$237=I1367))"),"12-091")</f>
        <v>12-091</v>
      </c>
      <c r="H1268" s="26" t="str">
        <f ca="1">IFERROR(__xludf.DUMMYFUNCTION("IF(I1367="""","""",FILTER(DATOS!$C$4:$C$237,DATOS!$B$4:$B$237=I1367))"),"BARRIOS UNIDOS")</f>
        <v>BARRIOS UNIDOS</v>
      </c>
      <c r="I1268" s="36" t="s">
        <v>53</v>
      </c>
      <c r="J1268" s="36" t="s">
        <v>516</v>
      </c>
      <c r="K1268" s="30">
        <v>16661920</v>
      </c>
      <c r="L1268" s="11"/>
    </row>
    <row r="1269" spans="1:12" ht="24">
      <c r="A1269" s="214"/>
      <c r="B1269" s="197"/>
      <c r="C1269" s="197"/>
      <c r="D1269" s="228"/>
      <c r="E1269" s="228"/>
      <c r="F1269" s="197"/>
      <c r="G1269" s="26" t="str">
        <f ca="1">IFERROR(__xludf.DUMMYFUNCTION("IF(I1369="""","""",FILTER(DATOS!$D$4:$D$237,DATOS!$B$4:$B$237=I1369))"),"12-092")</f>
        <v>12-092</v>
      </c>
      <c r="H1269" s="26" t="str">
        <f ca="1">IFERROR(__xludf.DUMMYFUNCTION("IF(I1369="""","""",FILTER(DATOS!$C$4:$C$237,DATOS!$B$4:$B$237=I1369))"),"BARRIOS UNIDOS")</f>
        <v>BARRIOS UNIDOS</v>
      </c>
      <c r="I1269" s="36" t="s">
        <v>31</v>
      </c>
      <c r="J1269" s="36" t="s">
        <v>516</v>
      </c>
      <c r="K1269" s="30">
        <v>7019820</v>
      </c>
      <c r="L1269" s="11"/>
    </row>
    <row r="1270" spans="1:12" ht="24">
      <c r="A1270" s="214"/>
      <c r="B1270" s="197"/>
      <c r="C1270" s="197"/>
      <c r="D1270" s="228"/>
      <c r="E1270" s="228"/>
      <c r="F1270" s="197"/>
      <c r="G1270" s="32" t="str">
        <f ca="1">IFERROR(__xludf.DUMMYFUNCTION("IF(I1370="""","""",FILTER(DATOS!$D$4:$D$237,DATOS!$B$4:$B$237=I1370))"),"12-1000")</f>
        <v>12-1000</v>
      </c>
      <c r="H1270" s="32" t="str">
        <f ca="1">IFERROR(__xludf.DUMMYFUNCTION("IF(I1370="""","""",FILTER(DATOS!$C$4:$C$237,DATOS!$B$4:$B$237=I1370))"),"BARRIOS UNIDOS")</f>
        <v>BARRIOS UNIDOS</v>
      </c>
      <c r="I1270" s="36" t="s">
        <v>28</v>
      </c>
      <c r="J1270" s="36" t="s">
        <v>516</v>
      </c>
      <c r="K1270" s="30">
        <v>2412000</v>
      </c>
      <c r="L1270" s="11"/>
    </row>
    <row r="1271" spans="1:12" ht="24">
      <c r="A1271" s="214"/>
      <c r="B1271" s="197"/>
      <c r="C1271" s="197"/>
      <c r="D1271" s="228"/>
      <c r="E1271" s="228"/>
      <c r="F1271" s="197"/>
      <c r="G1271" s="26" t="str">
        <f ca="1">IFERROR(__xludf.DUMMYFUNCTION("IF(I1371="""","""",FILTER(DATOS!$D$4:$D$237,DATOS!$B$4:$B$237=I1371))"),"12-125")</f>
        <v>12-125</v>
      </c>
      <c r="H1271" s="26" t="str">
        <f ca="1">IFERROR(__xludf.DUMMYFUNCTION("IF(I1371="""","""",FILTER(DATOS!$C$4:$C$237,DATOS!$B$4:$B$237=I1371))"),"BARRIOS UNIDOS")</f>
        <v>BARRIOS UNIDOS</v>
      </c>
      <c r="I1271" s="36" t="s">
        <v>47</v>
      </c>
      <c r="J1271" s="36" t="s">
        <v>516</v>
      </c>
      <c r="K1271" s="30">
        <v>1809000</v>
      </c>
      <c r="L1271" s="11"/>
    </row>
    <row r="1272" spans="1:12" ht="24">
      <c r="A1272" s="214"/>
      <c r="B1272" s="197"/>
      <c r="C1272" s="197"/>
      <c r="D1272" s="228"/>
      <c r="E1272" s="228"/>
      <c r="F1272" s="197"/>
      <c r="G1272" s="26" t="str">
        <f ca="1">IFERROR(__xludf.DUMMYFUNCTION("IF(I1372="""","""",FILTER(DATOS!$D$4:$D$237,DATOS!$B$4:$B$237=I1372))"),"12-141")</f>
        <v>12-141</v>
      </c>
      <c r="H1272" s="26" t="str">
        <f ca="1">IFERROR(__xludf.DUMMYFUNCTION("IF(I1372="""","""",FILTER(DATOS!$C$4:$C$237,DATOS!$B$4:$B$237=I1372))"),"BARRIOS UNIDOS")</f>
        <v>BARRIOS UNIDOS</v>
      </c>
      <c r="I1272" s="36" t="s">
        <v>48</v>
      </c>
      <c r="J1272" s="36" t="s">
        <v>516</v>
      </c>
      <c r="K1272" s="30">
        <v>3618000</v>
      </c>
      <c r="L1272" s="11"/>
    </row>
    <row r="1273" spans="1:12" ht="24">
      <c r="A1273" s="214"/>
      <c r="B1273" s="197"/>
      <c r="C1273" s="197"/>
      <c r="D1273" s="228"/>
      <c r="E1273" s="228"/>
      <c r="F1273" s="197"/>
      <c r="G1273" s="26" t="str">
        <f ca="1">IFERROR(__xludf.DUMMYFUNCTION("IF(I1373="""","""",FILTER(DATOS!$D$4:$D$237,DATOS!$B$4:$B$237=I1373))"),"13-088")</f>
        <v>13-088</v>
      </c>
      <c r="H1273" s="26" t="str">
        <f ca="1">IFERROR(__xludf.DUMMYFUNCTION("IF(I1373="""","""",FILTER(DATOS!$C$4:$C$237,DATOS!$B$4:$B$237=I1373))"),"TEUSAQUILLO")</f>
        <v>TEUSAQUILLO</v>
      </c>
      <c r="I1273" s="36" t="s">
        <v>66</v>
      </c>
      <c r="J1273" s="36" t="s">
        <v>516</v>
      </c>
      <c r="K1273" s="30">
        <v>5041240</v>
      </c>
      <c r="L1273" s="11"/>
    </row>
    <row r="1274" spans="1:12" ht="24">
      <c r="A1274" s="214"/>
      <c r="B1274" s="197"/>
      <c r="C1274" s="197"/>
      <c r="D1274" s="228"/>
      <c r="E1274" s="228"/>
      <c r="F1274" s="197"/>
      <c r="G1274" s="26" t="str">
        <f ca="1">IFERROR(__xludf.DUMMYFUNCTION("IF(I1374="""","""",FILTER(DATOS!$D$4:$D$237,DATOS!$B$4:$B$237=I1374))"),"13-089")</f>
        <v>13-089</v>
      </c>
      <c r="H1274" s="26" t="str">
        <f ca="1">IFERROR(__xludf.DUMMYFUNCTION("IF(I1374="""","""",FILTER(DATOS!$C$4:$C$237,DATOS!$B$4:$B$237=I1374))"),"TEUSAQUILLO")</f>
        <v>TEUSAQUILLO</v>
      </c>
      <c r="I1274" s="36" t="s">
        <v>59</v>
      </c>
      <c r="J1274" s="36" t="s">
        <v>516</v>
      </c>
      <c r="K1274" s="30">
        <v>27492800</v>
      </c>
      <c r="L1274" s="11"/>
    </row>
    <row r="1275" spans="1:12" ht="24">
      <c r="A1275" s="214"/>
      <c r="B1275" s="197"/>
      <c r="C1275" s="197"/>
      <c r="D1275" s="228"/>
      <c r="E1275" s="228"/>
      <c r="F1275" s="197"/>
      <c r="G1275" s="26" t="str">
        <f ca="1">IFERROR(__xludf.DUMMYFUNCTION("IF(I1375="""","""",FILTER(DATOS!$D$4:$D$237,DATOS!$B$4:$B$237=I1375))"),"13-122")</f>
        <v>13-122</v>
      </c>
      <c r="H1275" s="26" t="str">
        <f ca="1">IFERROR(__xludf.DUMMYFUNCTION("IF(I1375="""","""",FILTER(DATOS!$C$4:$C$237,DATOS!$B$4:$B$237=I1375))"),"TEUSAQUILLO")</f>
        <v>TEUSAQUILLO</v>
      </c>
      <c r="I1275" s="36" t="s">
        <v>32</v>
      </c>
      <c r="J1275" s="36" t="s">
        <v>516</v>
      </c>
      <c r="K1275" s="30">
        <v>9657590</v>
      </c>
      <c r="L1275" s="11"/>
    </row>
    <row r="1276" spans="1:12" ht="24">
      <c r="A1276" s="214"/>
      <c r="B1276" s="197"/>
      <c r="C1276" s="197"/>
      <c r="D1276" s="228"/>
      <c r="E1276" s="228"/>
      <c r="F1276" s="197"/>
      <c r="G1276" s="26" t="str">
        <f ca="1">IFERROR(__xludf.DUMMYFUNCTION("IF(I1376="""","""",FILTER(DATOS!$D$4:$D$237,DATOS!$B$4:$B$237=I1376))"),"13-123")</f>
        <v>13-123</v>
      </c>
      <c r="H1276" s="26" t="str">
        <f ca="1">IFERROR(__xludf.DUMMYFUNCTION("IF(I1376="""","""",FILTER(DATOS!$C$4:$C$237,DATOS!$B$4:$B$237=I1376))"),"TEUSAQUILLO")</f>
        <v>TEUSAQUILLO</v>
      </c>
      <c r="I1276" s="36" t="s">
        <v>23</v>
      </c>
      <c r="J1276" s="36" t="s">
        <v>516</v>
      </c>
      <c r="K1276" s="30">
        <v>2319661</v>
      </c>
      <c r="L1276" s="11"/>
    </row>
    <row r="1277" spans="1:12" ht="24">
      <c r="A1277" s="214"/>
      <c r="B1277" s="197"/>
      <c r="C1277" s="197"/>
      <c r="D1277" s="228"/>
      <c r="E1277" s="228"/>
      <c r="F1277" s="197"/>
      <c r="G1277" s="26" t="str">
        <f ca="1">IFERROR(__xludf.DUMMYFUNCTION("IF(I1378="""","""",FILTER(DATOS!$D$4:$D$237,DATOS!$B$4:$B$237=I1378))"),"14-030")</f>
        <v>14-030</v>
      </c>
      <c r="H1277" s="26" t="str">
        <f ca="1">IFERROR(__xludf.DUMMYFUNCTION("IF(I1378="""","""",FILTER(DATOS!$C$4:$C$237,DATOS!$B$4:$B$237=I1378))"),"MARTIRES")</f>
        <v>MARTIRES</v>
      </c>
      <c r="I1277" s="36" t="s">
        <v>82</v>
      </c>
      <c r="J1277" s="36" t="s">
        <v>516</v>
      </c>
      <c r="K1277" s="30">
        <v>4037954</v>
      </c>
      <c r="L1277" s="11"/>
    </row>
    <row r="1278" spans="1:12" ht="24">
      <c r="A1278" s="214"/>
      <c r="B1278" s="197"/>
      <c r="C1278" s="197"/>
      <c r="D1278" s="228"/>
      <c r="E1278" s="228"/>
      <c r="F1278" s="197"/>
      <c r="G1278" s="26" t="str">
        <f ca="1">IFERROR(__xludf.DUMMYFUNCTION("IF(I1379="""","""",FILTER(DATOS!$D$4:$D$237,DATOS!$B$4:$B$237=I1379))"),"14-036")</f>
        <v>14-036</v>
      </c>
      <c r="H1278" s="26" t="str">
        <f ca="1">IFERROR(__xludf.DUMMYFUNCTION("IF(I1379="""","""",FILTER(DATOS!$C$4:$C$237,DATOS!$B$4:$B$237=I1379))"),"MARTIRES")</f>
        <v>MARTIRES</v>
      </c>
      <c r="I1278" s="36" t="s">
        <v>55</v>
      </c>
      <c r="J1278" s="36" t="s">
        <v>516</v>
      </c>
      <c r="K1278" s="30">
        <v>1206000</v>
      </c>
      <c r="L1278" s="11"/>
    </row>
    <row r="1279" spans="1:12" ht="24">
      <c r="A1279" s="214"/>
      <c r="B1279" s="197"/>
      <c r="C1279" s="197"/>
      <c r="D1279" s="228"/>
      <c r="E1279" s="228"/>
      <c r="F1279" s="197"/>
      <c r="G1279" s="26" t="str">
        <f ca="1">IFERROR(__xludf.DUMMYFUNCTION("IF(I1381="""","""",FILTER(DATOS!$D$4:$D$237,DATOS!$B$4:$B$237=I1381))"),"15-036")</f>
        <v>15-036</v>
      </c>
      <c r="H1279" s="26" t="str">
        <f ca="1">IFERROR(__xludf.DUMMYFUNCTION("IF(I1381="""","""",FILTER(DATOS!$C$4:$C$237,DATOS!$B$4:$B$237=I1381))"),"ANTONIO NARIÑO")</f>
        <v>ANTONIO NARIÑO</v>
      </c>
      <c r="I1279" s="36" t="s">
        <v>137</v>
      </c>
      <c r="J1279" s="36" t="s">
        <v>516</v>
      </c>
      <c r="K1279" s="30">
        <v>3119920</v>
      </c>
      <c r="L1279" s="11"/>
    </row>
    <row r="1280" spans="1:12" ht="24">
      <c r="A1280" s="214"/>
      <c r="B1280" s="197"/>
      <c r="C1280" s="197"/>
      <c r="D1280" s="228"/>
      <c r="E1280" s="228"/>
      <c r="F1280" s="197"/>
      <c r="G1280" s="26" t="str">
        <f ca="1">IFERROR(__xludf.DUMMYFUNCTION("IF(I1382="""","""",FILTER(DATOS!$D$4:$D$237,DATOS!$B$4:$B$237=I1382))"),"15-040")</f>
        <v>15-040</v>
      </c>
      <c r="H1280" s="26" t="str">
        <f ca="1">IFERROR(__xludf.DUMMYFUNCTION("IF(I1382="""","""",FILTER(DATOS!$C$4:$C$237,DATOS!$B$4:$B$237=I1382))"),"ANTONIO NARIÑO")</f>
        <v>ANTONIO NARIÑO</v>
      </c>
      <c r="I1280" s="36" t="s">
        <v>105</v>
      </c>
      <c r="J1280" s="36" t="s">
        <v>516</v>
      </c>
      <c r="K1280" s="30">
        <v>3015000</v>
      </c>
      <c r="L1280" s="11"/>
    </row>
    <row r="1281" spans="1:12" ht="24">
      <c r="A1281" s="214"/>
      <c r="B1281" s="197"/>
      <c r="C1281" s="197"/>
      <c r="D1281" s="228"/>
      <c r="E1281" s="228"/>
      <c r="F1281" s="197"/>
      <c r="G1281" s="26" t="str">
        <f ca="1">IFERROR(__xludf.DUMMYFUNCTION("IF(I1383="""","""",FILTER(DATOS!$D$4:$D$237,DATOS!$B$4:$B$237=I1383))"),"16-024")</f>
        <v>16-024</v>
      </c>
      <c r="H1281" s="26" t="str">
        <f ca="1">IFERROR(__xludf.DUMMYFUNCTION("IF(I1383="""","""",FILTER(DATOS!$C$4:$C$237,DATOS!$B$4:$B$237=I1383))"),"PUENTE ARANDA")</f>
        <v>PUENTE ARANDA</v>
      </c>
      <c r="I1281" s="36" t="s">
        <v>91</v>
      </c>
      <c r="J1281" s="36" t="s">
        <v>516</v>
      </c>
      <c r="K1281" s="30">
        <v>1159330</v>
      </c>
      <c r="L1281" s="11"/>
    </row>
    <row r="1282" spans="1:12" ht="24">
      <c r="A1282" s="214"/>
      <c r="B1282" s="197"/>
      <c r="C1282" s="197"/>
      <c r="D1282" s="228"/>
      <c r="E1282" s="228"/>
      <c r="F1282" s="197"/>
      <c r="G1282" s="26" t="str">
        <f ca="1">IFERROR(__xludf.DUMMYFUNCTION("IF(I1384="""","""",FILTER(DATOS!$D$4:$D$237,DATOS!$B$4:$B$237=I1384))"),"16-099")</f>
        <v>16-099</v>
      </c>
      <c r="H1282" s="26" t="str">
        <f ca="1">IFERROR(__xludf.DUMMYFUNCTION("IF(I1384="""","""",FILTER(DATOS!$C$4:$C$237,DATOS!$B$4:$B$237=I1384))"),"PUENTE ARANDA")</f>
        <v>PUENTE ARANDA</v>
      </c>
      <c r="I1282" s="36" t="s">
        <v>112</v>
      </c>
      <c r="J1282" s="36" t="s">
        <v>516</v>
      </c>
      <c r="K1282" s="30">
        <v>408110</v>
      </c>
      <c r="L1282" s="11"/>
    </row>
    <row r="1283" spans="1:12" ht="24">
      <c r="A1283" s="214"/>
      <c r="B1283" s="197"/>
      <c r="C1283" s="197"/>
      <c r="D1283" s="228"/>
      <c r="E1283" s="228"/>
      <c r="F1283" s="197"/>
      <c r="G1283" s="26" t="str">
        <f ca="1">IFERROR(__xludf.DUMMYFUNCTION("IF(I1385="""","""",FILTER(DATOS!$D$4:$D$237,DATOS!$B$4:$B$237=I1385))"),"16-112")</f>
        <v>16-112</v>
      </c>
      <c r="H1283" s="26" t="str">
        <f ca="1">IFERROR(__xludf.DUMMYFUNCTION("IF(I1385="""","""",FILTER(DATOS!$C$4:$C$237,DATOS!$B$4:$B$237=I1385))"),"PUENTE ARANDA")</f>
        <v>PUENTE ARANDA</v>
      </c>
      <c r="I1283" s="36" t="s">
        <v>79</v>
      </c>
      <c r="J1283" s="36" t="s">
        <v>516</v>
      </c>
      <c r="K1283" s="30">
        <v>3119920</v>
      </c>
      <c r="L1283" s="11"/>
    </row>
    <row r="1284" spans="1:12" ht="24">
      <c r="A1284" s="214"/>
      <c r="B1284" s="197"/>
      <c r="C1284" s="197"/>
      <c r="D1284" s="228"/>
      <c r="E1284" s="228"/>
      <c r="F1284" s="197"/>
      <c r="G1284" s="26" t="str">
        <f ca="1">IFERROR(__xludf.DUMMYFUNCTION("IF(I1386="""","""",FILTER(DATOS!$D$4:$D$237,DATOS!$B$4:$B$237=I1386))"),"16-204")</f>
        <v>16-204</v>
      </c>
      <c r="H1284" s="26" t="str">
        <f ca="1">IFERROR(__xludf.DUMMYFUNCTION("IF(I1386="""","""",FILTER(DATOS!$C$4:$C$237,DATOS!$B$4:$B$237=I1386))"),"PUENTE ARANDA")</f>
        <v>PUENTE ARANDA</v>
      </c>
      <c r="I1284" s="36" t="s">
        <v>83</v>
      </c>
      <c r="J1284" s="36" t="s">
        <v>516</v>
      </c>
      <c r="K1284" s="30">
        <v>2412000</v>
      </c>
      <c r="L1284" s="11"/>
    </row>
    <row r="1285" spans="1:12" ht="24">
      <c r="A1285" s="214"/>
      <c r="B1285" s="197"/>
      <c r="C1285" s="197"/>
      <c r="D1285" s="228"/>
      <c r="E1285" s="228"/>
      <c r="F1285" s="197"/>
      <c r="G1285" s="26" t="str">
        <f ca="1">IFERROR(__xludf.DUMMYFUNCTION("IF(I1387="""","""",FILTER(DATOS!$D$4:$D$237,DATOS!$B$4:$B$237=I1387))"),"16-416")</f>
        <v>16-416</v>
      </c>
      <c r="H1285" s="26" t="str">
        <f ca="1">IFERROR(__xludf.DUMMYFUNCTION("IF(I1387="""","""",FILTER(DATOS!$C$4:$C$237,DATOS!$B$4:$B$237=I1387))"),"PUENTE ARANDA")</f>
        <v>PUENTE ARANDA</v>
      </c>
      <c r="I1285" s="36" t="s">
        <v>49</v>
      </c>
      <c r="J1285" s="36" t="s">
        <v>516</v>
      </c>
      <c r="K1285" s="30">
        <v>406300</v>
      </c>
      <c r="L1285" s="11"/>
    </row>
    <row r="1286" spans="1:12" ht="24">
      <c r="A1286" s="214"/>
      <c r="B1286" s="197"/>
      <c r="C1286" s="197"/>
      <c r="D1286" s="228"/>
      <c r="E1286" s="228"/>
      <c r="F1286" s="197"/>
      <c r="G1286" s="26" t="str">
        <f ca="1">IFERROR(__xludf.DUMMYFUNCTION("IF(I1388="""","""",FILTER(DATOS!$D$4:$D$237,DATOS!$B$4:$B$237=I1388))"),"18-028")</f>
        <v>18-028</v>
      </c>
      <c r="H1286" s="26" t="str">
        <f ca="1">IFERROR(__xludf.DUMMYFUNCTION("IF(I1388="""","""",FILTER(DATOS!$C$4:$C$237,DATOS!$B$4:$B$237=I1388))"),"RAFAEL URIBE")</f>
        <v>RAFAEL URIBE</v>
      </c>
      <c r="I1286" s="36" t="s">
        <v>74</v>
      </c>
      <c r="J1286" s="36" t="s">
        <v>516</v>
      </c>
      <c r="K1286" s="30">
        <v>5979880</v>
      </c>
      <c r="L1286" s="11"/>
    </row>
    <row r="1287" spans="1:12" ht="24">
      <c r="A1287" s="214"/>
      <c r="B1287" s="197"/>
      <c r="C1287" s="197"/>
      <c r="D1287" s="228"/>
      <c r="E1287" s="228"/>
      <c r="F1287" s="197"/>
      <c r="G1287" s="26" t="str">
        <f ca="1">IFERROR(__xludf.DUMMYFUNCTION("IF(I1390="""","""",FILTER(DATOS!$D$4:$D$237,DATOS!$B$4:$B$237=I1390))"),"18-090")</f>
        <v>18-090</v>
      </c>
      <c r="H1287" s="26" t="str">
        <f ca="1">IFERROR(__xludf.DUMMYFUNCTION("IF(I1390="""","""",FILTER(DATOS!$C$4:$C$237,DATOS!$B$4:$B$237=I1390))"),"RAFAEL URIBE")</f>
        <v>RAFAEL URIBE</v>
      </c>
      <c r="I1287" s="36" t="s">
        <v>94</v>
      </c>
      <c r="J1287" s="36" t="s">
        <v>516</v>
      </c>
      <c r="K1287" s="30">
        <v>616277</v>
      </c>
      <c r="L1287" s="11"/>
    </row>
    <row r="1288" spans="1:12" ht="24">
      <c r="A1288" s="214"/>
      <c r="B1288" s="197"/>
      <c r="C1288" s="197"/>
      <c r="D1288" s="228"/>
      <c r="E1288" s="228"/>
      <c r="F1288" s="197"/>
      <c r="G1288" s="26" t="str">
        <f ca="1">IFERROR(__xludf.DUMMYFUNCTION("IF(I1391="""","""",FILTER(DATOS!$D$4:$D$237,DATOS!$B$4:$B$237=I1391))"),"18-162")</f>
        <v>18-162</v>
      </c>
      <c r="H1288" s="26" t="str">
        <f ca="1">IFERROR(__xludf.DUMMYFUNCTION("IF(I1391="""","""",FILTER(DATOS!$C$4:$C$237,DATOS!$B$4:$B$237=I1391))"),"RAFAEL URIBE")</f>
        <v>RAFAEL URIBE</v>
      </c>
      <c r="I1288" s="36" t="s">
        <v>113</v>
      </c>
      <c r="J1288" s="36" t="s">
        <v>516</v>
      </c>
      <c r="K1288" s="30">
        <v>3039600</v>
      </c>
      <c r="L1288" s="11"/>
    </row>
    <row r="1289" spans="1:12" ht="24">
      <c r="A1289" s="214"/>
      <c r="B1289" s="197"/>
      <c r="C1289" s="197"/>
      <c r="D1289" s="228"/>
      <c r="E1289" s="228"/>
      <c r="F1289" s="197"/>
      <c r="G1289" s="26" t="str">
        <f ca="1">IFERROR(__xludf.DUMMYFUNCTION("IF(I1392="""","""",FILTER(DATOS!$D$4:$D$237,DATOS!$B$4:$B$237=I1392))"),"18-205")</f>
        <v>18-205</v>
      </c>
      <c r="H1289" s="26" t="str">
        <f ca="1">IFERROR(__xludf.DUMMYFUNCTION("IF(I1392="""","""",FILTER(DATOS!$C$4:$C$237,DATOS!$B$4:$B$237=I1392))"),"RAFAEL URIBE")</f>
        <v>RAFAEL URIBE</v>
      </c>
      <c r="I1289" s="36" t="s">
        <v>121</v>
      </c>
      <c r="J1289" s="36" t="s">
        <v>516</v>
      </c>
      <c r="K1289" s="30">
        <v>2299792</v>
      </c>
      <c r="L1289" s="11"/>
    </row>
    <row r="1290" spans="1:12" ht="24">
      <c r="A1290" s="214"/>
      <c r="B1290" s="197"/>
      <c r="C1290" s="197"/>
      <c r="D1290" s="228"/>
      <c r="E1290" s="228"/>
      <c r="F1290" s="197"/>
      <c r="G1290" s="26" t="str">
        <f ca="1">IFERROR(__xludf.DUMMYFUNCTION("IF(I1393="""","""",FILTER(DATOS!$D$4:$D$237,DATOS!$B$4:$B$237=I1393))"),"18-207")</f>
        <v>18-207</v>
      </c>
      <c r="H1290" s="26" t="str">
        <f ca="1">IFERROR(__xludf.DUMMYFUNCTION("IF(I1393="""","""",FILTER(DATOS!$C$4:$C$237,DATOS!$B$4:$B$237=I1393))"),"RAFAEL URIBE")</f>
        <v>RAFAEL URIBE</v>
      </c>
      <c r="I1290" s="36" t="s">
        <v>93</v>
      </c>
      <c r="J1290" s="36" t="s">
        <v>516</v>
      </c>
      <c r="K1290" s="30">
        <v>4896176</v>
      </c>
      <c r="L1290" s="11"/>
    </row>
    <row r="1291" spans="1:12" ht="24">
      <c r="A1291" s="214"/>
      <c r="B1291" s="197"/>
      <c r="C1291" s="197"/>
      <c r="D1291" s="228"/>
      <c r="E1291" s="228"/>
      <c r="F1291" s="197"/>
      <c r="G1291" s="26" t="str">
        <f ca="1">IFERROR(__xludf.DUMMYFUNCTION("IF(I1395="""","""",FILTER(DATOS!$D$4:$D$237,DATOS!$B$4:$B$237=I1395))"),"18-073")</f>
        <v>18-073</v>
      </c>
      <c r="H1291" s="26" t="str">
        <f ca="1">IFERROR(__xludf.DUMMYFUNCTION("IF(I1395="""","""",FILTER(DATOS!$C$4:$C$237,DATOS!$B$4:$B$237=I1395))"),"RAFAEL URIBE")</f>
        <v>RAFAEL URIBE</v>
      </c>
      <c r="I1291" s="36" t="s">
        <v>126</v>
      </c>
      <c r="J1291" s="36" t="s">
        <v>516</v>
      </c>
      <c r="K1291" s="30">
        <v>812600</v>
      </c>
      <c r="L1291" s="11"/>
    </row>
    <row r="1292" spans="1:12" ht="24">
      <c r="A1292" s="214"/>
      <c r="B1292" s="197"/>
      <c r="C1292" s="197"/>
      <c r="D1292" s="228"/>
      <c r="E1292" s="228"/>
      <c r="F1292" s="197"/>
      <c r="G1292" s="26" t="str">
        <f ca="1">IFERROR(__xludf.DUMMYFUNCTION("IF(I1396="""","""",FILTER(DATOS!$D$4:$D$237,DATOS!$B$4:$B$237=I1396))"),"19-188")</f>
        <v>19-188</v>
      </c>
      <c r="H1292" s="26" t="str">
        <f ca="1">IFERROR(__xludf.DUMMYFUNCTION("IF(I1396="""","""",FILTER(DATOS!$C$4:$C$237,DATOS!$B$4:$B$237=I1396))"),"CIUDAD BOLIVAR")</f>
        <v>CIUDAD BOLIVAR</v>
      </c>
      <c r="I1292" s="36" t="s">
        <v>72</v>
      </c>
      <c r="J1292" s="36" t="s">
        <v>516</v>
      </c>
      <c r="K1292" s="30">
        <v>1722950</v>
      </c>
      <c r="L1292" s="11"/>
    </row>
    <row r="1293" spans="1:12" ht="24">
      <c r="A1293" s="214"/>
      <c r="B1293" s="197"/>
      <c r="C1293" s="197"/>
      <c r="D1293" s="228"/>
      <c r="E1293" s="228"/>
      <c r="F1293" s="197"/>
      <c r="G1293" s="26" t="str">
        <f ca="1">IFERROR(__xludf.DUMMYFUNCTION("IF(I1397="""","""",FILTER(DATOS!$D$4:$D$237,DATOS!$B$4:$B$237=I1397))"),"19-189")</f>
        <v>19-189</v>
      </c>
      <c r="H1293" s="26" t="str">
        <f ca="1">IFERROR(__xludf.DUMMYFUNCTION("IF(I1397="""","""",FILTER(DATOS!$C$4:$C$237,DATOS!$B$4:$B$237=I1397))"),"CIUDAD BOLIVAR")</f>
        <v>CIUDAD BOLIVAR</v>
      </c>
      <c r="I1293" s="36" t="s">
        <v>76</v>
      </c>
      <c r="J1293" s="36" t="s">
        <v>516</v>
      </c>
      <c r="K1293" s="30">
        <v>1430687</v>
      </c>
      <c r="L1293" s="11"/>
    </row>
    <row r="1294" spans="1:12" ht="24">
      <c r="A1294" s="214"/>
      <c r="B1294" s="197"/>
      <c r="C1294" s="197"/>
      <c r="D1294" s="228"/>
      <c r="E1294" s="228"/>
      <c r="F1294" s="197"/>
      <c r="G1294" s="26" t="str">
        <f ca="1">IFERROR(__xludf.DUMMYFUNCTION("IF(I1398="""","""",FILTER(DATOS!$D$4:$D$237,DATOS!$B$4:$B$237=I1398))"),"19-230")</f>
        <v>19-230</v>
      </c>
      <c r="H1294" s="26" t="str">
        <f ca="1">IFERROR(__xludf.DUMMYFUNCTION("IF(I1398="""","""",FILTER(DATOS!$C$4:$C$237,DATOS!$B$4:$B$237=I1398))"),"CIUDAD BOLIVAR")</f>
        <v>CIUDAD BOLIVAR</v>
      </c>
      <c r="I1294" s="36" t="s">
        <v>111</v>
      </c>
      <c r="J1294" s="36" t="s">
        <v>516</v>
      </c>
      <c r="K1294" s="30">
        <v>2437800</v>
      </c>
      <c r="L1294" s="11"/>
    </row>
    <row r="1295" spans="1:12" ht="24">
      <c r="A1295" s="214"/>
      <c r="B1295" s="197"/>
      <c r="C1295" s="197"/>
      <c r="D1295" s="228"/>
      <c r="E1295" s="228"/>
      <c r="F1295" s="197"/>
      <c r="G1295" s="26" t="str">
        <f ca="1">IFERROR(__xludf.DUMMYFUNCTION("IF(I1399="""","""",FILTER(DATOS!$D$4:$D$237,DATOS!$B$4:$B$237=I1399))"),"19-231")</f>
        <v>19-231</v>
      </c>
      <c r="H1295" s="26" t="str">
        <f ca="1">IFERROR(__xludf.DUMMYFUNCTION("IF(I1399="""","""",FILTER(DATOS!$C$4:$C$237,DATOS!$B$4:$B$237=I1399))"),"CIUDAD BOLIVAR")</f>
        <v>CIUDAD BOLIVAR</v>
      </c>
      <c r="I1295" s="36" t="s">
        <v>104</v>
      </c>
      <c r="J1295" s="36" t="s">
        <v>516</v>
      </c>
      <c r="K1295" s="30">
        <v>2412000</v>
      </c>
      <c r="L1295" s="11"/>
    </row>
    <row r="1296" spans="1:12" ht="24">
      <c r="A1296" s="214"/>
      <c r="B1296" s="197"/>
      <c r="C1296" s="197"/>
      <c r="D1296" s="228"/>
      <c r="E1296" s="228"/>
      <c r="F1296" s="197"/>
      <c r="G1296" s="26" t="str">
        <f ca="1">IFERROR(__xludf.DUMMYFUNCTION("IF(I1400="""","""",FILTER(DATOS!$D$4:$D$237,DATOS!$B$4:$B$237=I1400))"),"19-346")</f>
        <v>19-346</v>
      </c>
      <c r="H1296" s="26" t="str">
        <f ca="1">IFERROR(__xludf.DUMMYFUNCTION("IF(I1400="""","""",FILTER(DATOS!$C$4:$C$237,DATOS!$B$4:$B$237=I1400))"),"CIUDAD BOLIVAR")</f>
        <v>CIUDAD BOLIVAR</v>
      </c>
      <c r="I1296" s="36" t="s">
        <v>99</v>
      </c>
      <c r="J1296" s="36" t="s">
        <v>516</v>
      </c>
      <c r="K1296" s="30">
        <v>2339940</v>
      </c>
      <c r="L1296" s="11"/>
    </row>
    <row r="1297" spans="1:12" ht="24">
      <c r="A1297" s="214"/>
      <c r="B1297" s="197"/>
      <c r="C1297" s="197"/>
      <c r="D1297" s="228"/>
      <c r="E1297" s="228"/>
      <c r="F1297" s="197"/>
      <c r="G1297" s="26" t="str">
        <f ca="1">IFERROR(__xludf.DUMMYFUNCTION("IF(I1401="""","""",FILTER(DATOS!$D$4:$D$237,DATOS!$B$4:$B$237=I1401))"),"19-349")</f>
        <v>19-349</v>
      </c>
      <c r="H1297" s="26" t="str">
        <f ca="1">IFERROR(__xludf.DUMMYFUNCTION("IF(I1401="""","""",FILTER(DATOS!$C$4:$C$237,DATOS!$B$4:$B$237=I1401))"),"CIUDAD BOLIVAR")</f>
        <v>CIUDAD BOLIVAR</v>
      </c>
      <c r="I1297" s="36" t="s">
        <v>235</v>
      </c>
      <c r="J1297" s="36" t="s">
        <v>516</v>
      </c>
      <c r="K1297" s="30">
        <v>812600</v>
      </c>
      <c r="L1297" s="11"/>
    </row>
    <row r="1298" spans="1:12" ht="24">
      <c r="A1298" s="214"/>
      <c r="B1298" s="197"/>
      <c r="C1298" s="197"/>
      <c r="D1298" s="228"/>
      <c r="E1298" s="228"/>
      <c r="F1298" s="197"/>
      <c r="G1298" s="26" t="str">
        <f ca="1">IFERROR(__xludf.DUMMYFUNCTION("IF(I1402="""","""",FILTER(DATOS!$D$4:$D$237,DATOS!$B$4:$B$237=I1402))"),"19-348")</f>
        <v>19-348</v>
      </c>
      <c r="H1298" s="26" t="str">
        <f ca="1">IFERROR(__xludf.DUMMYFUNCTION("IF(I1402="""","""",FILTER(DATOS!$C$4:$C$237,DATOS!$B$4:$B$237=I1402))"),"CIUDAD BOLIVAR")</f>
        <v>CIUDAD BOLIVAR</v>
      </c>
      <c r="I1298" s="36" t="s">
        <v>128</v>
      </c>
      <c r="J1298" s="36" t="s">
        <v>516</v>
      </c>
      <c r="K1298" s="30">
        <v>2437800</v>
      </c>
      <c r="L1298" s="11"/>
    </row>
    <row r="1299" spans="1:12" ht="24">
      <c r="A1299" s="214"/>
      <c r="B1299" s="197"/>
      <c r="C1299" s="197"/>
      <c r="D1299" s="228"/>
      <c r="E1299" s="228"/>
      <c r="F1299" s="197"/>
      <c r="G1299" s="26" t="str">
        <f ca="1">IFERROR(__xludf.DUMMYFUNCTION("IF(I1403="""","""",FILTER(DATOS!$D$4:$D$237,DATOS!$B$4:$B$237=I1403))"),"19-347")</f>
        <v>19-347</v>
      </c>
      <c r="H1299" s="26" t="str">
        <f ca="1">IFERROR(__xludf.DUMMYFUNCTION("IF(I1403="""","""",FILTER(DATOS!$C$4:$C$237,DATOS!$B$4:$B$237=I1403))"),"CIUDAD BOLIVAR")</f>
        <v>CIUDAD BOLIVAR</v>
      </c>
      <c r="I1299" s="36" t="s">
        <v>75</v>
      </c>
      <c r="J1299" s="36" t="s">
        <v>516</v>
      </c>
      <c r="K1299" s="30">
        <v>812600</v>
      </c>
      <c r="L1299" s="11"/>
    </row>
    <row r="1300" spans="1:12" ht="24">
      <c r="A1300" s="214"/>
      <c r="B1300" s="197"/>
      <c r="C1300" s="197"/>
      <c r="D1300" s="228"/>
      <c r="E1300" s="228"/>
      <c r="F1300" s="197"/>
      <c r="G1300" s="26" t="str">
        <f ca="1">IFERROR(__xludf.DUMMYFUNCTION("IF(I1404="""","""",FILTER(DATOS!$D$4:$D$237,DATOS!$B$4:$B$237=I1404))"),"19-756")</f>
        <v>19-756</v>
      </c>
      <c r="H1300" s="26" t="str">
        <f ca="1">IFERROR(__xludf.DUMMYFUNCTION("IF(I1404="""","""",FILTER(DATOS!$C$4:$C$237,DATOS!$B$4:$B$237=I1404))"),"CIUDAD BOLIVAR")</f>
        <v>CIUDAD BOLIVAR</v>
      </c>
      <c r="I1300" s="36" t="s">
        <v>71</v>
      </c>
      <c r="J1300" s="36" t="s">
        <v>516</v>
      </c>
      <c r="K1300" s="30">
        <v>3119920</v>
      </c>
      <c r="L1300" s="11"/>
    </row>
    <row r="1301" spans="1:12" ht="24">
      <c r="A1301" s="214"/>
      <c r="B1301" s="197"/>
      <c r="C1301" s="197"/>
      <c r="D1301" s="228"/>
      <c r="E1301" s="228"/>
      <c r="F1301" s="197"/>
      <c r="G1301" s="26" t="str">
        <f ca="1">IFERROR(__xludf.DUMMYFUNCTION("IF(I1405="""","""",FILTER(DATOS!$D$4:$D$237,DATOS!$B$4:$B$237=I1405))"),"19-190")</f>
        <v>19-190</v>
      </c>
      <c r="H1301" s="26" t="str">
        <f ca="1">IFERROR(__xludf.DUMMYFUNCTION("IF(I1405="""","""",FILTER(DATOS!$C$4:$C$237,DATOS!$B$4:$B$237=I1405))"),"CIUDAD BOLIVAR")</f>
        <v>CIUDAD BOLIVAR</v>
      </c>
      <c r="I1301" s="36" t="s">
        <v>127</v>
      </c>
      <c r="J1301" s="36" t="s">
        <v>516</v>
      </c>
      <c r="K1301" s="30">
        <v>2412000</v>
      </c>
      <c r="L1301" s="11"/>
    </row>
    <row r="1302" spans="1:12" ht="26.25" customHeight="1">
      <c r="A1302" s="214"/>
      <c r="B1302" s="197"/>
      <c r="C1302" s="197"/>
      <c r="D1302" s="228"/>
      <c r="E1302" s="228"/>
      <c r="F1302" s="197"/>
      <c r="G1302" s="26" t="str">
        <f ca="1">IFERROR(__xludf.DUMMYFUNCTION("IF(I1406="""","""",FILTER(DATOS!$D$4:$D$237,DATOS!$B$4:$B$237=I1406))"),"07-436")</f>
        <v>07-436</v>
      </c>
      <c r="H1302" s="26" t="str">
        <f ca="1">IFERROR(__xludf.DUMMYFUNCTION("IF(I1406="""","""",FILTER(DATOS!$C$4:$C$237,DATOS!$B$4:$B$237=I1406))"),"BOSA")</f>
        <v>BOSA</v>
      </c>
      <c r="I1302" s="36" t="s">
        <v>140</v>
      </c>
      <c r="J1302" s="36" t="s">
        <v>516</v>
      </c>
      <c r="K1302" s="30">
        <v>1625200</v>
      </c>
      <c r="L1302" s="11"/>
    </row>
    <row r="1303" spans="1:12" ht="39.75" customHeight="1" thickBot="1">
      <c r="A1303" s="186"/>
      <c r="B1303" s="191"/>
      <c r="C1303" s="191"/>
      <c r="D1303" s="229"/>
      <c r="E1303" s="229"/>
      <c r="F1303" s="191"/>
      <c r="G1303" s="42" t="str">
        <f ca="1">IFERROR(__xludf.DUMMYFUNCTION("IF(I1407="""","""",FILTER(DATOS!$D$4:$D$237,DATOS!$B$4:$B$237=I1407))"),"12-110")</f>
        <v>12-110</v>
      </c>
      <c r="H1303" s="42" t="str">
        <f ca="1">IFERROR(__xludf.DUMMYFUNCTION("IF(I1407="""","""",FILTER(DATOS!$C$4:$C$237,DATOS!$B$4:$B$237=I1407))"),"BARRIOS UNIDOS")</f>
        <v>BARRIOS UNIDOS</v>
      </c>
      <c r="I1303" s="145" t="s">
        <v>120</v>
      </c>
      <c r="J1303" s="36" t="s">
        <v>516</v>
      </c>
      <c r="K1303" s="30">
        <v>3162280</v>
      </c>
      <c r="L1303" s="11"/>
    </row>
    <row r="1304" spans="1:12" ht="45" customHeight="1">
      <c r="A1304" s="213" t="s">
        <v>517</v>
      </c>
      <c r="B1304" s="215" t="s">
        <v>518</v>
      </c>
      <c r="C1304" s="215" t="s">
        <v>519</v>
      </c>
      <c r="D1304" s="251">
        <v>45099</v>
      </c>
      <c r="E1304" s="251">
        <v>45549</v>
      </c>
      <c r="F1304" s="217">
        <v>1</v>
      </c>
      <c r="G1304" s="21" t="str">
        <f ca="1">IFERROR(__xludf.DUMMYFUNCTION("IF(I1408="""","""",FILTER(DATOS!$D$4:$D$237,DATOS!$B$4:$B$237=I1408))"),"10-311")</f>
        <v>10-311</v>
      </c>
      <c r="H1304" s="21" t="str">
        <f ca="1">IFERROR(__xludf.DUMMYFUNCTION("IF(I1408="""","""",FILTER(DATOS!$C$4:$C$237,DATOS!$B$4:$B$237=I1408))"),"ENGATIVA")</f>
        <v>ENGATIVA</v>
      </c>
      <c r="I1304" s="77" t="s">
        <v>38</v>
      </c>
      <c r="J1304" s="77" t="s">
        <v>520</v>
      </c>
      <c r="K1304" s="146">
        <v>1314916102</v>
      </c>
      <c r="L1304" s="57">
        <v>1541213263</v>
      </c>
    </row>
    <row r="1305" spans="1:12" ht="45" customHeight="1" thickBot="1">
      <c r="A1305" s="186"/>
      <c r="B1305" s="191"/>
      <c r="C1305" s="191"/>
      <c r="D1305" s="229"/>
      <c r="E1305" s="229"/>
      <c r="F1305" s="191"/>
      <c r="G1305" s="91" t="str">
        <f ca="1">IFERROR(__xludf.DUMMYFUNCTION("IF(I1409="""","""",FILTER(DATOS!$D$4:$D$237,DATOS!$B$4:$B$237=I1409))"),"12-110")</f>
        <v>12-110</v>
      </c>
      <c r="H1305" s="91" t="str">
        <f ca="1">IFERROR(__xludf.DUMMYFUNCTION("IF(I1409="""","""",FILTER(DATOS!$C$4:$C$237,DATOS!$B$4:$B$237=I1409))"),"BARRIOS UNIDOS")</f>
        <v>BARRIOS UNIDOS</v>
      </c>
      <c r="I1305" s="145" t="s">
        <v>120</v>
      </c>
      <c r="J1305" s="145" t="s">
        <v>520</v>
      </c>
      <c r="K1305" s="46">
        <v>10359720</v>
      </c>
      <c r="L1305" s="57"/>
    </row>
    <row r="1306" spans="1:12" ht="15.75" customHeight="1">
      <c r="A1306" s="213" t="s">
        <v>521</v>
      </c>
      <c r="B1306" s="215" t="s">
        <v>522</v>
      </c>
      <c r="C1306" s="215" t="s">
        <v>523</v>
      </c>
      <c r="D1306" s="250">
        <v>45135</v>
      </c>
      <c r="E1306" s="250">
        <v>45603</v>
      </c>
      <c r="F1306" s="217">
        <v>1</v>
      </c>
      <c r="G1306" s="147" t="str">
        <f ca="1">IFERROR(__xludf.DUMMYFUNCTION("IF(I1410="""","""",FILTER(DATOS!$D$4:$D$237,DATOS!$B$4:$B$237=I1410))"),"12-1000")</f>
        <v>12-1000</v>
      </c>
      <c r="H1306" s="147" t="str">
        <f ca="1">IFERROR(__xludf.DUMMYFUNCTION("IF(I1410="""","""",FILTER(DATOS!$C$4:$C$237,DATOS!$B$4:$B$237=I1410))"),"BARRIOS UNIDOS")</f>
        <v>BARRIOS UNIDOS</v>
      </c>
      <c r="I1306" s="96" t="s">
        <v>28</v>
      </c>
      <c r="J1306" s="66" t="s">
        <v>524</v>
      </c>
      <c r="K1306" s="146">
        <v>265420584</v>
      </c>
      <c r="L1306" s="57">
        <v>2679287389</v>
      </c>
    </row>
    <row r="1307" spans="1:12" ht="15.75" customHeight="1">
      <c r="A1307" s="214"/>
      <c r="B1307" s="197"/>
      <c r="C1307" s="197"/>
      <c r="D1307" s="228"/>
      <c r="E1307" s="228"/>
      <c r="F1307" s="197"/>
      <c r="G1307" s="26" t="str">
        <f ca="1">IFERROR(__xludf.DUMMYFUNCTION("IF(I1411="""","""",FILTER(DATOS!$D$4:$D$237,DATOS!$B$4:$B$237=I1411))"),"11-204")</f>
        <v>11-204</v>
      </c>
      <c r="H1307" s="26" t="str">
        <f ca="1">IFERROR(__xludf.DUMMYFUNCTION("IF(I1411="""","""",FILTER(DATOS!$C$4:$C$237,DATOS!$B$4:$B$237=I1411))"),"SUBA")</f>
        <v>SUBA</v>
      </c>
      <c r="I1307" s="96" t="s">
        <v>68</v>
      </c>
      <c r="J1307" s="66" t="s">
        <v>525</v>
      </c>
      <c r="K1307" s="30">
        <v>51578259</v>
      </c>
      <c r="L1307" s="11"/>
    </row>
    <row r="1308" spans="1:12" ht="15.75" customHeight="1">
      <c r="A1308" s="214"/>
      <c r="B1308" s="197"/>
      <c r="C1308" s="197"/>
      <c r="D1308" s="228"/>
      <c r="E1308" s="228"/>
      <c r="F1308" s="197"/>
      <c r="G1308" s="26" t="str">
        <f ca="1">IFERROR(__xludf.DUMMYFUNCTION("IF(I1412="""","""",FILTER(DATOS!$D$4:$D$237,DATOS!$B$4:$B$237=I1412))"),"04-127")</f>
        <v>04-127</v>
      </c>
      <c r="H1308" s="26" t="str">
        <f ca="1">IFERROR(__xludf.DUMMYFUNCTION("IF(I1412="""","""",FILTER(DATOS!$C$4:$C$237,DATOS!$B$4:$B$237=I1412))"),"SAN CRISTOBAL")</f>
        <v>SAN CRISTOBAL</v>
      </c>
      <c r="I1308" s="96" t="s">
        <v>124</v>
      </c>
      <c r="J1308" s="66" t="s">
        <v>524</v>
      </c>
      <c r="K1308" s="30">
        <v>84063137</v>
      </c>
      <c r="L1308" s="11"/>
    </row>
    <row r="1309" spans="1:12" ht="15.75" customHeight="1">
      <c r="A1309" s="214"/>
      <c r="B1309" s="197"/>
      <c r="C1309" s="197"/>
      <c r="D1309" s="228"/>
      <c r="E1309" s="228"/>
      <c r="F1309" s="197"/>
      <c r="G1309" s="26" t="str">
        <f ca="1">IFERROR(__xludf.DUMMYFUNCTION("IF(I1413="""","""",FILTER(DATOS!$D$4:$D$237,DATOS!$B$4:$B$237=I1413))"),"06-063")</f>
        <v>06-063</v>
      </c>
      <c r="H1309" s="26" t="str">
        <f ca="1">IFERROR(__xludf.DUMMYFUNCTION("IF(I1413="""","""",FILTER(DATOS!$C$4:$C$237,DATOS!$B$4:$B$237=I1413))"),"TUNJUELITO")</f>
        <v>TUNJUELITO</v>
      </c>
      <c r="I1309" s="96" t="s">
        <v>88</v>
      </c>
      <c r="J1309" s="66" t="s">
        <v>524</v>
      </c>
      <c r="K1309" s="30">
        <v>111081045</v>
      </c>
      <c r="L1309" s="11"/>
    </row>
    <row r="1310" spans="1:12" ht="15.75" customHeight="1">
      <c r="A1310" s="214"/>
      <c r="B1310" s="197"/>
      <c r="C1310" s="197"/>
      <c r="D1310" s="228"/>
      <c r="E1310" s="228"/>
      <c r="F1310" s="197"/>
      <c r="G1310" s="26" t="str">
        <f ca="1">IFERROR(__xludf.DUMMYFUNCTION("IF(I1414="""","""",FILTER(DATOS!$D$4:$D$237,DATOS!$B$4:$B$237=I1414))"),"11-368")</f>
        <v>11-368</v>
      </c>
      <c r="H1310" s="26" t="str">
        <f ca="1">IFERROR(__xludf.DUMMYFUNCTION("IF(I1414="""","""",FILTER(DATOS!$C$4:$C$237,DATOS!$B$4:$B$237=I1414))"),"SUBA")</f>
        <v>SUBA</v>
      </c>
      <c r="I1310" s="96" t="s">
        <v>35</v>
      </c>
      <c r="J1310" s="66" t="s">
        <v>524</v>
      </c>
      <c r="K1310" s="30">
        <v>92123879</v>
      </c>
      <c r="L1310" s="11"/>
    </row>
    <row r="1311" spans="1:12" ht="15.75" customHeight="1">
      <c r="A1311" s="214"/>
      <c r="B1311" s="197"/>
      <c r="C1311" s="197"/>
      <c r="D1311" s="228"/>
      <c r="E1311" s="228"/>
      <c r="F1311" s="197"/>
      <c r="G1311" s="26" t="str">
        <f ca="1">IFERROR(__xludf.DUMMYFUNCTION("IF(I1415="""","""",FILTER(DATOS!$D$4:$D$237,DATOS!$B$4:$B$237=I1415))"),"10-223")</f>
        <v>10-223</v>
      </c>
      <c r="H1311" s="26" t="str">
        <f ca="1">IFERROR(__xludf.DUMMYFUNCTION("IF(I1415="""","""",FILTER(DATOS!$C$4:$C$237,DATOS!$B$4:$B$237=I1415))"),"ENGATIVA")</f>
        <v>ENGATIVA</v>
      </c>
      <c r="I1311" s="96" t="s">
        <v>41</v>
      </c>
      <c r="J1311" s="66" t="s">
        <v>524</v>
      </c>
      <c r="K1311" s="30">
        <v>48706954</v>
      </c>
      <c r="L1311" s="11"/>
    </row>
    <row r="1312" spans="1:12" ht="15.75" customHeight="1">
      <c r="A1312" s="214"/>
      <c r="B1312" s="197"/>
      <c r="C1312" s="197"/>
      <c r="D1312" s="228"/>
      <c r="E1312" s="228"/>
      <c r="F1312" s="197"/>
      <c r="G1312" s="26" t="str">
        <f ca="1">IFERROR(__xludf.DUMMYFUNCTION("IF(I1416="""","""",FILTER(DATOS!$D$4:$D$237,DATOS!$B$4:$B$237=I1416))"),"19-230")</f>
        <v>19-230</v>
      </c>
      <c r="H1312" s="26" t="str">
        <f ca="1">IFERROR(__xludf.DUMMYFUNCTION("IF(I1416="""","""",FILTER(DATOS!$C$4:$C$237,DATOS!$B$4:$B$237=I1416))"),"CIUDAD BOLIVAR")</f>
        <v>CIUDAD BOLIVAR</v>
      </c>
      <c r="I1312" s="148" t="s">
        <v>111</v>
      </c>
      <c r="J1312" s="66" t="s">
        <v>524</v>
      </c>
      <c r="K1312" s="30">
        <v>29320005</v>
      </c>
      <c r="L1312" s="11"/>
    </row>
    <row r="1313" spans="1:12" ht="15.75" customHeight="1">
      <c r="A1313" s="214"/>
      <c r="B1313" s="197"/>
      <c r="C1313" s="197"/>
      <c r="D1313" s="228"/>
      <c r="E1313" s="228"/>
      <c r="F1313" s="197"/>
      <c r="G1313" s="26" t="str">
        <f ca="1">IFERROR(__xludf.DUMMYFUNCTION("IF(I1417="""","""",FILTER(DATOS!$D$4:$D$237,DATOS!$B$4:$B$237=I1417))"),"08-034")</f>
        <v>08-034</v>
      </c>
      <c r="H1313" s="26" t="str">
        <f ca="1">IFERROR(__xludf.DUMMYFUNCTION("IF(I1417="""","""",FILTER(DATOS!$C$4:$C$237,DATOS!$B$4:$B$237=I1417))"),"KENNEDY")</f>
        <v>KENNEDY</v>
      </c>
      <c r="I1313" s="96" t="s">
        <v>118</v>
      </c>
      <c r="J1313" s="66" t="s">
        <v>524</v>
      </c>
      <c r="K1313" s="30">
        <v>30456601</v>
      </c>
      <c r="L1313" s="11"/>
    </row>
    <row r="1314" spans="1:12" ht="15.75" customHeight="1">
      <c r="A1314" s="214"/>
      <c r="B1314" s="197"/>
      <c r="C1314" s="197"/>
      <c r="D1314" s="228"/>
      <c r="E1314" s="228"/>
      <c r="F1314" s="197"/>
      <c r="G1314" s="26" t="str">
        <f ca="1">IFERROR(__xludf.DUMMYFUNCTION("IF(I1418="""","""",FILTER(DATOS!$D$4:$D$237,DATOS!$B$4:$B$237=I1418))"),"19-189")</f>
        <v>19-189</v>
      </c>
      <c r="H1314" s="26" t="str">
        <f ca="1">IFERROR(__xludf.DUMMYFUNCTION("IF(I1418="""","""",FILTER(DATOS!$C$4:$C$237,DATOS!$B$4:$B$237=I1418))"),"CIUDAD BOLIVAR")</f>
        <v>CIUDAD BOLIVAR</v>
      </c>
      <c r="I1314" s="96" t="s">
        <v>76</v>
      </c>
      <c r="J1314" s="66" t="s">
        <v>524</v>
      </c>
      <c r="K1314" s="30">
        <v>31859247</v>
      </c>
      <c r="L1314" s="11"/>
    </row>
    <row r="1315" spans="1:12" ht="15.75" customHeight="1">
      <c r="A1315" s="214"/>
      <c r="B1315" s="197"/>
      <c r="C1315" s="197"/>
      <c r="D1315" s="228"/>
      <c r="E1315" s="228"/>
      <c r="F1315" s="197"/>
      <c r="G1315" s="26" t="str">
        <f ca="1">IFERROR(__xludf.DUMMYFUNCTION("IF(I1419="""","""",FILTER(DATOS!$D$4:$D$237,DATOS!$B$4:$B$237=I1419))"),"09-111")</f>
        <v>09-111</v>
      </c>
      <c r="H1315" s="26" t="str">
        <f ca="1">IFERROR(__xludf.DUMMYFUNCTION("IF(I1419="""","""",FILTER(DATOS!$C$4:$C$237,DATOS!$B$4:$B$237=I1419))"),"FONTIBON")</f>
        <v>FONTIBON</v>
      </c>
      <c r="I1315" s="96" t="s">
        <v>57</v>
      </c>
      <c r="J1315" s="66" t="s">
        <v>524</v>
      </c>
      <c r="K1315" s="30">
        <v>42617952</v>
      </c>
      <c r="L1315" s="11"/>
    </row>
    <row r="1316" spans="1:12" ht="15.75" customHeight="1">
      <c r="A1316" s="214"/>
      <c r="B1316" s="197"/>
      <c r="C1316" s="197"/>
      <c r="D1316" s="228"/>
      <c r="E1316" s="228"/>
      <c r="F1316" s="197"/>
      <c r="G1316" s="26" t="str">
        <f ca="1">IFERROR(__xludf.DUMMYFUNCTION("IF(I1420="""","""",FILTER(DATOS!$D$4:$D$237,DATOS!$B$4:$B$237=I1420))"),"05-016")</f>
        <v>05-016</v>
      </c>
      <c r="H1316" s="26" t="str">
        <f ca="1">IFERROR(__xludf.DUMMYFUNCTION("IF(I1420="""","""",FILTER(DATOS!$C$4:$C$237,DATOS!$B$4:$B$237=I1420))"),"USME")</f>
        <v>USME</v>
      </c>
      <c r="I1316" s="96" t="s">
        <v>89</v>
      </c>
      <c r="J1316" s="66" t="s">
        <v>524</v>
      </c>
      <c r="K1316" s="30">
        <v>24805872</v>
      </c>
      <c r="L1316" s="11"/>
    </row>
    <row r="1317" spans="1:12" ht="15.75" customHeight="1">
      <c r="A1317" s="214"/>
      <c r="B1317" s="197"/>
      <c r="C1317" s="197"/>
      <c r="D1317" s="228"/>
      <c r="E1317" s="228"/>
      <c r="F1317" s="197"/>
      <c r="G1317" s="26" t="str">
        <f ca="1">IFERROR(__xludf.DUMMYFUNCTION("IF(I1421="""","""",FILTER(DATOS!$D$4:$D$237,DATOS!$B$4:$B$237=I1421))"),"07-152")</f>
        <v>07-152</v>
      </c>
      <c r="H1317" s="26" t="str">
        <f ca="1">IFERROR(__xludf.DUMMYFUNCTION("IF(I1421="""","""",FILTER(DATOS!$C$4:$C$237,DATOS!$B$4:$B$237=I1421))"),"BOSA")</f>
        <v>BOSA</v>
      </c>
      <c r="I1317" s="149" t="s">
        <v>92</v>
      </c>
      <c r="J1317" s="66" t="s">
        <v>524</v>
      </c>
      <c r="K1317" s="30">
        <v>35934915</v>
      </c>
      <c r="L1317" s="11"/>
    </row>
    <row r="1318" spans="1:12" ht="15.75" customHeight="1">
      <c r="A1318" s="214"/>
      <c r="B1318" s="197"/>
      <c r="C1318" s="197"/>
      <c r="D1318" s="228"/>
      <c r="E1318" s="228"/>
      <c r="F1318" s="197"/>
      <c r="G1318" s="26" t="str">
        <f ca="1">IFERROR(__xludf.DUMMYFUNCTION("IF(I1422="""","""",FILTER(DATOS!$D$4:$D$237,DATOS!$B$4:$B$237=I1422))"),"19-346")</f>
        <v>19-346</v>
      </c>
      <c r="H1318" s="26" t="str">
        <f ca="1">IFERROR(__xludf.DUMMYFUNCTION("IF(I1422="""","""",FILTER(DATOS!$C$4:$C$237,DATOS!$B$4:$B$237=I1422))"),"CIUDAD BOLIVAR")</f>
        <v>CIUDAD BOLIVAR</v>
      </c>
      <c r="I1318" s="150" t="s">
        <v>99</v>
      </c>
      <c r="J1318" s="66" t="s">
        <v>526</v>
      </c>
      <c r="K1318" s="30">
        <v>2935110</v>
      </c>
      <c r="L1318" s="11"/>
    </row>
    <row r="1319" spans="1:12" ht="15.75" customHeight="1">
      <c r="A1319" s="214"/>
      <c r="B1319" s="197"/>
      <c r="C1319" s="197"/>
      <c r="D1319" s="228"/>
      <c r="E1319" s="228"/>
      <c r="F1319" s="197"/>
      <c r="G1319" s="26" t="str">
        <f ca="1">IFERROR(__xludf.DUMMYFUNCTION("IF(I1423="""","""",FILTER(DATOS!$D$4:$D$237,DATOS!$B$4:$B$237=I1423))"),"06-017")</f>
        <v>06-017</v>
      </c>
      <c r="H1319" s="26" t="str">
        <f ca="1">IFERROR(__xludf.DUMMYFUNCTION("IF(I1423="""","""",FILTER(DATOS!$C$4:$C$237,DATOS!$B$4:$B$237=I1423))"),"TUNJUELITO")</f>
        <v>TUNJUELITO</v>
      </c>
      <c r="I1319" s="150" t="s">
        <v>117</v>
      </c>
      <c r="J1319" s="66" t="s">
        <v>526</v>
      </c>
      <c r="K1319" s="30">
        <v>1929956</v>
      </c>
      <c r="L1319" s="11"/>
    </row>
    <row r="1320" spans="1:12" ht="15.75" customHeight="1">
      <c r="A1320" s="214"/>
      <c r="B1320" s="197"/>
      <c r="C1320" s="197"/>
      <c r="D1320" s="228"/>
      <c r="E1320" s="228"/>
      <c r="F1320" s="197"/>
      <c r="G1320" s="26" t="str">
        <f ca="1">IFERROR(__xludf.DUMMYFUNCTION("IF(I1424="""","""",FILTER(DATOS!$D$4:$D$237,DATOS!$B$4:$B$237=I1424))"),"18-452")</f>
        <v>18-452</v>
      </c>
      <c r="H1320" s="26" t="str">
        <f ca="1">IFERROR(__xludf.DUMMYFUNCTION("IF(I1424="""","""",FILTER(DATOS!$C$4:$C$237,DATOS!$B$4:$B$237=I1424))"),"RAFAEL URIBE")</f>
        <v>RAFAEL URIBE</v>
      </c>
      <c r="I1320" s="150" t="s">
        <v>98</v>
      </c>
      <c r="J1320" s="66" t="s">
        <v>526</v>
      </c>
      <c r="K1320" s="30">
        <v>2158244</v>
      </c>
      <c r="L1320" s="11"/>
    </row>
    <row r="1321" spans="1:12" ht="15.75" customHeight="1">
      <c r="A1321" s="214"/>
      <c r="B1321" s="197"/>
      <c r="C1321" s="197"/>
      <c r="D1321" s="228"/>
      <c r="E1321" s="228"/>
      <c r="F1321" s="197"/>
      <c r="G1321" s="26" t="str">
        <f ca="1">IFERROR(__xludf.DUMMYFUNCTION("IF(I1425="""","""",FILTER(DATOS!$D$4:$D$237,DATOS!$B$4:$B$237=I1425))"),"04-196")</f>
        <v>04-196</v>
      </c>
      <c r="H1321" s="26" t="str">
        <f ca="1">IFERROR(__xludf.DUMMYFUNCTION("IF(I1425="""","""",FILTER(DATOS!$C$4:$C$237,DATOS!$B$4:$B$237=I1425))"),"SAN CRISTOBAL")</f>
        <v>SAN CRISTOBAL</v>
      </c>
      <c r="I1321" s="150" t="s">
        <v>134</v>
      </c>
      <c r="J1321" s="66" t="s">
        <v>526</v>
      </c>
      <c r="K1321" s="30">
        <v>1416305</v>
      </c>
      <c r="L1321" s="11"/>
    </row>
    <row r="1322" spans="1:12" ht="15.75" customHeight="1">
      <c r="A1322" s="214"/>
      <c r="B1322" s="197"/>
      <c r="C1322" s="197"/>
      <c r="D1322" s="228"/>
      <c r="E1322" s="228"/>
      <c r="F1322" s="197"/>
      <c r="G1322" s="26" t="str">
        <f ca="1">IFERROR(__xludf.DUMMYFUNCTION("IF(I1426="""","""",FILTER(DATOS!$D$4:$D$237,DATOS!$B$4:$B$237=I1426))"),"10-290")</f>
        <v>10-290</v>
      </c>
      <c r="H1322" s="26" t="str">
        <f ca="1">IFERROR(__xludf.DUMMYFUNCTION("IF(I1426="""","""",FILTER(DATOS!$C$4:$C$237,DATOS!$B$4:$B$237=I1426))"),"ENGATIVA")</f>
        <v>ENGATIVA</v>
      </c>
      <c r="I1322" s="150" t="s">
        <v>62</v>
      </c>
      <c r="J1322" s="66" t="s">
        <v>526</v>
      </c>
      <c r="K1322" s="30">
        <v>17417173</v>
      </c>
      <c r="L1322" s="11"/>
    </row>
    <row r="1323" spans="1:12" ht="15.75" customHeight="1">
      <c r="A1323" s="214"/>
      <c r="B1323" s="197"/>
      <c r="C1323" s="197"/>
      <c r="D1323" s="228"/>
      <c r="E1323" s="228"/>
      <c r="F1323" s="197"/>
      <c r="G1323" s="26" t="str">
        <f ca="1">IFERROR(__xludf.DUMMYFUNCTION("IF(I1427="""","""",FILTER(DATOS!$D$4:$D$237,DATOS!$B$4:$B$237=I1427))"),"10-192")</f>
        <v>10-192</v>
      </c>
      <c r="H1323" s="26" t="str">
        <f ca="1">IFERROR(__xludf.DUMMYFUNCTION("IF(I1427="""","""",FILTER(DATOS!$C$4:$C$237,DATOS!$B$4:$B$237=I1427))"),"ENGATIVA")</f>
        <v>ENGATIVA</v>
      </c>
      <c r="I1323" s="150" t="s">
        <v>33</v>
      </c>
      <c r="J1323" s="66" t="s">
        <v>526</v>
      </c>
      <c r="K1323" s="30">
        <v>243201</v>
      </c>
      <c r="L1323" s="11"/>
    </row>
    <row r="1324" spans="1:12" ht="15.75" customHeight="1">
      <c r="A1324" s="214"/>
      <c r="B1324" s="197"/>
      <c r="C1324" s="197"/>
      <c r="D1324" s="228"/>
      <c r="E1324" s="228"/>
      <c r="F1324" s="197"/>
      <c r="G1324" s="26" t="str">
        <f ca="1">IFERROR(__xludf.DUMMYFUNCTION("IF(I1428="""","""",FILTER(DATOS!$D$4:$D$237,DATOS!$B$4:$B$237=I1428))"),"10-018")</f>
        <v>10-018</v>
      </c>
      <c r="H1324" s="26" t="str">
        <f ca="1">IFERROR(__xludf.DUMMYFUNCTION("IF(I1428="""","""",FILTER(DATOS!$C$4:$C$237,DATOS!$B$4:$B$237=I1428))"),"ENGATIVA")</f>
        <v>ENGATIVA</v>
      </c>
      <c r="I1324" s="150" t="s">
        <v>64</v>
      </c>
      <c r="J1324" s="66" t="s">
        <v>526</v>
      </c>
      <c r="K1324" s="30">
        <v>3637328</v>
      </c>
      <c r="L1324" s="11"/>
    </row>
    <row r="1325" spans="1:12" ht="15.75" customHeight="1">
      <c r="A1325" s="214"/>
      <c r="B1325" s="197"/>
      <c r="C1325" s="197"/>
      <c r="D1325" s="228"/>
      <c r="E1325" s="228"/>
      <c r="F1325" s="197"/>
      <c r="G1325" s="26" t="str">
        <f ca="1">IFERROR(__xludf.DUMMYFUNCTION("IF(I1429="""","""",FILTER(DATOS!$D$4:$D$237,DATOS!$B$4:$B$237=I1429))"),"08-144")</f>
        <v>08-144</v>
      </c>
      <c r="H1325" s="26" t="str">
        <f ca="1">IFERROR(__xludf.DUMMYFUNCTION("IF(I1429="""","""",FILTER(DATOS!$C$4:$C$237,DATOS!$B$4:$B$237=I1429))"),"KENNEDY")</f>
        <v>KENNEDY</v>
      </c>
      <c r="I1325" s="150" t="s">
        <v>81</v>
      </c>
      <c r="J1325" s="66" t="s">
        <v>526</v>
      </c>
      <c r="K1325" s="30">
        <v>195668</v>
      </c>
      <c r="L1325" s="11"/>
    </row>
    <row r="1326" spans="1:12" ht="15.75" customHeight="1">
      <c r="A1326" s="214"/>
      <c r="B1326" s="197"/>
      <c r="C1326" s="197"/>
      <c r="D1326" s="228"/>
      <c r="E1326" s="228"/>
      <c r="F1326" s="197"/>
      <c r="G1326" s="26" t="str">
        <f ca="1">IFERROR(__xludf.DUMMYFUNCTION("IF(I1430="""","""",FILTER(DATOS!$D$4:$D$237,DATOS!$B$4:$B$237=I1430))"),"12-091")</f>
        <v>12-091</v>
      </c>
      <c r="H1326" s="26" t="str">
        <f ca="1">IFERROR(__xludf.DUMMYFUNCTION("IF(I1430="""","""",FILTER(DATOS!$C$4:$C$237,DATOS!$B$4:$B$237=I1430))"),"BARRIOS UNIDOS")</f>
        <v>BARRIOS UNIDOS</v>
      </c>
      <c r="I1326" s="150" t="s">
        <v>53</v>
      </c>
      <c r="J1326" s="66" t="s">
        <v>526</v>
      </c>
      <c r="K1326" s="30">
        <v>3267535</v>
      </c>
      <c r="L1326" s="11"/>
    </row>
    <row r="1327" spans="1:12" ht="15.75" customHeight="1">
      <c r="A1327" s="214"/>
      <c r="B1327" s="197"/>
      <c r="C1327" s="197"/>
      <c r="D1327" s="228"/>
      <c r="E1327" s="228"/>
      <c r="F1327" s="197"/>
      <c r="G1327" s="26" t="str">
        <f ca="1">IFERROR(__xludf.DUMMYFUNCTION("IF(I1431="""","""",FILTER(DATOS!$D$4:$D$237,DATOS!$B$4:$B$237=I1431))"),"12-125")</f>
        <v>12-125</v>
      </c>
      <c r="H1327" s="26" t="str">
        <f ca="1">IFERROR(__xludf.DUMMYFUNCTION("IF(I1431="""","""",FILTER(DATOS!$C$4:$C$237,DATOS!$B$4:$B$237=I1431))"),"BARRIOS UNIDOS")</f>
        <v>BARRIOS UNIDOS</v>
      </c>
      <c r="I1327" s="150" t="s">
        <v>47</v>
      </c>
      <c r="J1327" s="66" t="s">
        <v>526</v>
      </c>
      <c r="K1327" s="30">
        <v>3664447</v>
      </c>
      <c r="L1327" s="11"/>
    </row>
    <row r="1328" spans="1:12" ht="15.75" customHeight="1">
      <c r="A1328" s="214"/>
      <c r="B1328" s="197"/>
      <c r="C1328" s="197"/>
      <c r="D1328" s="228"/>
      <c r="E1328" s="228"/>
      <c r="F1328" s="197"/>
      <c r="G1328" s="26" t="str">
        <f ca="1">IFERROR(__xludf.DUMMYFUNCTION("IF(I1432="""","""",FILTER(DATOS!$D$4:$D$237,DATOS!$B$4:$B$237=I1432))"),"18-090")</f>
        <v>18-090</v>
      </c>
      <c r="H1328" s="26" t="str">
        <f ca="1">IFERROR(__xludf.DUMMYFUNCTION("IF(I1432="""","""",FILTER(DATOS!$C$4:$C$237,DATOS!$B$4:$B$237=I1432))"),"RAFAEL URIBE")</f>
        <v>RAFAEL URIBE</v>
      </c>
      <c r="I1328" s="150" t="s">
        <v>94</v>
      </c>
      <c r="J1328" s="66" t="s">
        <v>526</v>
      </c>
      <c r="K1328" s="30">
        <v>2962351</v>
      </c>
      <c r="L1328" s="11"/>
    </row>
    <row r="1329" spans="1:12" ht="26.25" customHeight="1">
      <c r="A1329" s="214"/>
      <c r="B1329" s="197"/>
      <c r="C1329" s="197"/>
      <c r="D1329" s="228"/>
      <c r="E1329" s="228"/>
      <c r="F1329" s="197"/>
      <c r="G1329" s="26" t="str">
        <f ca="1">IFERROR(__xludf.DUMMYFUNCTION("IF(I1433="""","""",FILTER(DATOS!$D$4:$D$237,DATOS!$B$4:$B$237=I1433))"),"03-035")</f>
        <v>03-035</v>
      </c>
      <c r="H1329" s="26" t="str">
        <f ca="1">IFERROR(__xludf.DUMMYFUNCTION("IF(I1433="""","""",FILTER(DATOS!$C$4:$C$237,DATOS!$B$4:$B$237=I1433))"),"SANTAFE")</f>
        <v>SANTAFE</v>
      </c>
      <c r="I1329" s="98" t="s">
        <v>46</v>
      </c>
      <c r="J1329" s="86" t="s">
        <v>526</v>
      </c>
      <c r="K1329" s="30">
        <v>963266</v>
      </c>
      <c r="L1329" s="11"/>
    </row>
    <row r="1330" spans="1:12" ht="15.75" customHeight="1">
      <c r="A1330" s="214"/>
      <c r="B1330" s="197"/>
      <c r="C1330" s="197"/>
      <c r="D1330" s="228"/>
      <c r="E1330" s="228"/>
      <c r="F1330" s="197"/>
      <c r="G1330" s="26" t="str">
        <f ca="1">IFERROR(__xludf.DUMMYFUNCTION("IF(I1434="""","""",FILTER(DATOS!$D$4:$D$237,DATOS!$B$4:$B$237=I1434))"),"03-085")</f>
        <v>03-085</v>
      </c>
      <c r="H1330" s="26" t="str">
        <f ca="1">IFERROR(__xludf.DUMMYFUNCTION("IF(I1434="""","""",FILTER(DATOS!$C$4:$C$237,DATOS!$B$4:$B$237=I1434))"),"SANTAFE")</f>
        <v>SANTAFE</v>
      </c>
      <c r="I1330" s="150" t="s">
        <v>129</v>
      </c>
      <c r="J1330" s="66" t="s">
        <v>526</v>
      </c>
      <c r="K1330" s="30">
        <v>963266</v>
      </c>
      <c r="L1330" s="11"/>
    </row>
    <row r="1331" spans="1:12" ht="15.75" customHeight="1">
      <c r="A1331" s="214"/>
      <c r="B1331" s="197"/>
      <c r="C1331" s="197"/>
      <c r="D1331" s="228"/>
      <c r="E1331" s="228"/>
      <c r="F1331" s="197"/>
      <c r="G1331" s="26" t="str">
        <f ca="1">IFERROR(__xludf.DUMMYFUNCTION("IF(I1435="""","""",FILTER(DATOS!$D$4:$D$237,DATOS!$B$4:$B$237=I1435))"),"")</f>
        <v/>
      </c>
      <c r="H1331" s="26" t="str">
        <f ca="1">IFERROR(__xludf.DUMMYFUNCTION("IF(I1435="""","""",FILTER(DATOS!$C$4:$C$237,DATOS!$B$4:$B$237=I1435))"),"")</f>
        <v/>
      </c>
      <c r="I1331" s="150"/>
      <c r="J1331" s="86" t="s">
        <v>527</v>
      </c>
      <c r="K1331" s="30">
        <v>22329466</v>
      </c>
      <c r="L1331" s="11"/>
    </row>
    <row r="1332" spans="1:12" ht="30" customHeight="1">
      <c r="A1332" s="214"/>
      <c r="B1332" s="197"/>
      <c r="C1332" s="197"/>
      <c r="D1332" s="228"/>
      <c r="E1332" s="228"/>
      <c r="F1332" s="197"/>
      <c r="G1332" s="26" t="str">
        <f ca="1">IFERROR(__xludf.DUMMYFUNCTION("IF(I1436="""","""",FILTER(DATOS!$D$4:$D$237,DATOS!$B$4:$B$237=I1436))"),"")</f>
        <v/>
      </c>
      <c r="H1332" s="26" t="str">
        <f ca="1">IFERROR(__xludf.DUMMYFUNCTION("IF(I1436="""","""",FILTER(DATOS!$C$4:$C$237,DATOS!$B$4:$B$237=I1436))"),"")</f>
        <v/>
      </c>
      <c r="I1332" s="150"/>
      <c r="J1332" s="86" t="s">
        <v>528</v>
      </c>
      <c r="K1332" s="30">
        <v>328789715.01999998</v>
      </c>
      <c r="L1332" s="11"/>
    </row>
    <row r="1333" spans="1:12" ht="15.75" customHeight="1">
      <c r="A1333" s="214"/>
      <c r="B1333" s="197"/>
      <c r="C1333" s="197"/>
      <c r="D1333" s="228"/>
      <c r="E1333" s="228"/>
      <c r="F1333" s="197"/>
      <c r="G1333" s="26" t="str">
        <f ca="1">IFERROR(__xludf.DUMMYFUNCTION("IF(I1437="""","""",FILTER(DATOS!$D$4:$D$237,DATOS!$B$4:$B$237=I1437))"),"07-152")</f>
        <v>07-152</v>
      </c>
      <c r="H1333" s="26" t="str">
        <f ca="1">IFERROR(__xludf.DUMMYFUNCTION("IF(I1437="""","""",FILTER(DATOS!$C$4:$C$237,DATOS!$B$4:$B$237=I1437))"),"BOSA")</f>
        <v>BOSA</v>
      </c>
      <c r="I1333" s="150" t="s">
        <v>92</v>
      </c>
      <c r="J1333" s="66" t="s">
        <v>526</v>
      </c>
      <c r="K1333" s="30">
        <v>2044989</v>
      </c>
      <c r="L1333" s="11"/>
    </row>
    <row r="1334" spans="1:12" ht="15.75" customHeight="1">
      <c r="A1334" s="214"/>
      <c r="B1334" s="197"/>
      <c r="C1334" s="197"/>
      <c r="D1334" s="228"/>
      <c r="E1334" s="228"/>
      <c r="F1334" s="197"/>
      <c r="G1334" s="26" t="str">
        <f ca="1">IFERROR(__xludf.DUMMYFUNCTION("IF(I1438="""","""",FILTER(DATOS!$D$4:$D$237,DATOS!$B$4:$B$237=I1438))"),"19-189")</f>
        <v>19-189</v>
      </c>
      <c r="H1334" s="26" t="str">
        <f ca="1">IFERROR(__xludf.DUMMYFUNCTION("IF(I1438="""","""",FILTER(DATOS!$C$4:$C$237,DATOS!$B$4:$B$237=I1438))"),"CIUDAD BOLIVAR")</f>
        <v>CIUDAD BOLIVAR</v>
      </c>
      <c r="I1334" s="150" t="s">
        <v>76</v>
      </c>
      <c r="J1334" s="66" t="s">
        <v>526</v>
      </c>
      <c r="K1334" s="30">
        <v>3348824.24</v>
      </c>
      <c r="L1334" s="11"/>
    </row>
    <row r="1335" spans="1:12" ht="13.5" customHeight="1">
      <c r="A1335" s="214"/>
      <c r="B1335" s="197"/>
      <c r="C1335" s="197"/>
      <c r="D1335" s="228"/>
      <c r="E1335" s="228"/>
      <c r="F1335" s="197"/>
      <c r="G1335" s="26" t="str">
        <f ca="1">IFERROR(__xludf.DUMMYFUNCTION("IF(I1439="""","""",FILTER(DATOS!$D$4:$D$237,DATOS!$B$4:$B$237=I1439))"),"10-223")</f>
        <v>10-223</v>
      </c>
      <c r="H1335" s="26" t="str">
        <f ca="1">IFERROR(__xludf.DUMMYFUNCTION("IF(I1439="""","""",FILTER(DATOS!$C$4:$C$237,DATOS!$B$4:$B$237=I1439))"),"ENGATIVA")</f>
        <v>ENGATIVA</v>
      </c>
      <c r="I1335" s="150" t="s">
        <v>41</v>
      </c>
      <c r="J1335" s="66" t="s">
        <v>526</v>
      </c>
      <c r="K1335" s="30">
        <v>7850059.8399999999</v>
      </c>
      <c r="L1335" s="11"/>
    </row>
    <row r="1336" spans="1:12" ht="13.5" customHeight="1">
      <c r="A1336" s="214"/>
      <c r="B1336" s="197"/>
      <c r="C1336" s="197"/>
      <c r="D1336" s="228"/>
      <c r="E1336" s="228"/>
      <c r="F1336" s="197"/>
      <c r="G1336" s="26" t="str">
        <f ca="1">IFERROR(__xludf.DUMMYFUNCTION("IF(I1440="""","""",FILTER(DATOS!$D$4:$D$237,DATOS!$B$4:$B$237=I1440))"),"05-016")</f>
        <v>05-016</v>
      </c>
      <c r="H1336" s="26" t="str">
        <f ca="1">IFERROR(__xludf.DUMMYFUNCTION("IF(I1440="""","""",FILTER(DATOS!$C$4:$C$237,DATOS!$B$4:$B$237=I1440))"),"USME")</f>
        <v>USME</v>
      </c>
      <c r="I1336" s="150" t="s">
        <v>89</v>
      </c>
      <c r="J1336" s="66" t="s">
        <v>526</v>
      </c>
      <c r="K1336" s="30">
        <v>2816062.6</v>
      </c>
      <c r="L1336" s="11"/>
    </row>
    <row r="1337" spans="1:12" ht="13.5" customHeight="1">
      <c r="A1337" s="214"/>
      <c r="B1337" s="197"/>
      <c r="C1337" s="197"/>
      <c r="D1337" s="228"/>
      <c r="E1337" s="228"/>
      <c r="F1337" s="197"/>
      <c r="G1337" s="26" t="str">
        <f ca="1">IFERROR(__xludf.DUMMYFUNCTION("IF(I1441="""","""",FILTER(DATOS!$D$4:$D$237,DATOS!$B$4:$B$237=I1441))"),"08-034")</f>
        <v>08-034</v>
      </c>
      <c r="H1337" s="26" t="str">
        <f ca="1">IFERROR(__xludf.DUMMYFUNCTION("IF(I1441="""","""",FILTER(DATOS!$C$4:$C$237,DATOS!$B$4:$B$237=I1441))"),"KENNEDY")</f>
        <v>KENNEDY</v>
      </c>
      <c r="I1337" s="150" t="s">
        <v>118</v>
      </c>
      <c r="J1337" s="66" t="s">
        <v>526</v>
      </c>
      <c r="K1337" s="30">
        <v>5952501</v>
      </c>
      <c r="L1337" s="11"/>
    </row>
    <row r="1338" spans="1:12" ht="13.5" customHeight="1">
      <c r="A1338" s="214"/>
      <c r="B1338" s="197"/>
      <c r="C1338" s="197"/>
      <c r="D1338" s="228"/>
      <c r="E1338" s="228"/>
      <c r="F1338" s="197"/>
      <c r="G1338" s="26" t="str">
        <f ca="1">IFERROR(__xludf.DUMMYFUNCTION("IF(I1442="""","""",FILTER(DATOS!$D$4:$D$237,DATOS!$B$4:$B$237=I1442))"),"19-230")</f>
        <v>19-230</v>
      </c>
      <c r="H1338" s="26" t="str">
        <f ca="1">IFERROR(__xludf.DUMMYFUNCTION("IF(I1442="""","""",FILTER(DATOS!$C$4:$C$237,DATOS!$B$4:$B$237=I1442))"),"CIUDAD BOLIVAR")</f>
        <v>CIUDAD BOLIVAR</v>
      </c>
      <c r="I1338" s="150" t="s">
        <v>111</v>
      </c>
      <c r="J1338" s="66" t="s">
        <v>526</v>
      </c>
      <c r="K1338" s="30">
        <v>5134360</v>
      </c>
      <c r="L1338" s="11"/>
    </row>
    <row r="1339" spans="1:12" ht="13.5" customHeight="1">
      <c r="A1339" s="214"/>
      <c r="B1339" s="197"/>
      <c r="C1339" s="197"/>
      <c r="D1339" s="228"/>
      <c r="E1339" s="228"/>
      <c r="F1339" s="197"/>
      <c r="G1339" s="26" t="str">
        <f ca="1">IFERROR(__xludf.DUMMYFUNCTION("IF(I1443="""","""",FILTER(DATOS!$D$4:$D$237,DATOS!$B$4:$B$237=I1443))"),"09-111")</f>
        <v>09-111</v>
      </c>
      <c r="H1339" s="26" t="str">
        <f ca="1">IFERROR(__xludf.DUMMYFUNCTION("IF(I1443="""","""",FILTER(DATOS!$C$4:$C$237,DATOS!$B$4:$B$237=I1443))"),"FONTIBON")</f>
        <v>FONTIBON</v>
      </c>
      <c r="I1339" s="150" t="s">
        <v>57</v>
      </c>
      <c r="J1339" s="66" t="s">
        <v>526</v>
      </c>
      <c r="K1339" s="30">
        <v>8455053.6500000004</v>
      </c>
      <c r="L1339" s="11"/>
    </row>
    <row r="1340" spans="1:12" ht="13.5" customHeight="1">
      <c r="A1340" s="214"/>
      <c r="B1340" s="197"/>
      <c r="C1340" s="197"/>
      <c r="D1340" s="228"/>
      <c r="E1340" s="228"/>
      <c r="F1340" s="197"/>
      <c r="G1340" s="26" t="str">
        <f ca="1">IFERROR(__xludf.DUMMYFUNCTION("IF(I1444="""","""",FILTER(DATOS!$D$4:$D$237,DATOS!$B$4:$B$237=I1444))"),"11-368")</f>
        <v>11-368</v>
      </c>
      <c r="H1340" s="26" t="str">
        <f ca="1">IFERROR(__xludf.DUMMYFUNCTION("IF(I1444="""","""",FILTER(DATOS!$C$4:$C$237,DATOS!$B$4:$B$237=I1444))"),"SUBA")</f>
        <v>SUBA</v>
      </c>
      <c r="I1340" s="150" t="s">
        <v>35</v>
      </c>
      <c r="J1340" s="66" t="s">
        <v>526</v>
      </c>
      <c r="K1340" s="30">
        <v>7256300.2999999998</v>
      </c>
      <c r="L1340" s="11"/>
    </row>
    <row r="1341" spans="1:12" ht="13.5" customHeight="1">
      <c r="A1341" s="214"/>
      <c r="B1341" s="197"/>
      <c r="C1341" s="197"/>
      <c r="D1341" s="228"/>
      <c r="E1341" s="228"/>
      <c r="F1341" s="197"/>
      <c r="G1341" s="26" t="str">
        <f ca="1">IFERROR(__xludf.DUMMYFUNCTION("IF(I1445="""","""",FILTER(DATOS!$D$4:$D$237,DATOS!$B$4:$B$237=I1445))"),"04-127")</f>
        <v>04-127</v>
      </c>
      <c r="H1341" s="26" t="str">
        <f ca="1">IFERROR(__xludf.DUMMYFUNCTION("IF(I1445="""","""",FILTER(DATOS!$C$4:$C$237,DATOS!$B$4:$B$237=I1445))"),"SAN CRISTOBAL")</f>
        <v>SAN CRISTOBAL</v>
      </c>
      <c r="I1341" s="150" t="s">
        <v>123</v>
      </c>
      <c r="J1341" s="66" t="s">
        <v>526</v>
      </c>
      <c r="K1341" s="30">
        <v>9025489.5</v>
      </c>
      <c r="L1341" s="11"/>
    </row>
    <row r="1342" spans="1:12" ht="13.5" customHeight="1">
      <c r="A1342" s="214"/>
      <c r="B1342" s="197"/>
      <c r="C1342" s="197"/>
      <c r="D1342" s="228"/>
      <c r="E1342" s="228"/>
      <c r="F1342" s="197"/>
      <c r="G1342" s="26" t="str">
        <f ca="1">IFERROR(__xludf.DUMMYFUNCTION("IF(I1446="""","""",FILTER(DATOS!$D$4:$D$237,DATOS!$B$4:$B$237=I1446))"),"04-127")</f>
        <v>04-127</v>
      </c>
      <c r="H1342" s="26" t="str">
        <f ca="1">IFERROR(__xludf.DUMMYFUNCTION("IF(I1446="""","""",FILTER(DATOS!$C$4:$C$237,DATOS!$B$4:$B$237=I1446))"),"SAN CRISTOBAL")</f>
        <v>SAN CRISTOBAL</v>
      </c>
      <c r="I1342" s="150" t="s">
        <v>124</v>
      </c>
      <c r="J1342" s="66" t="s">
        <v>526</v>
      </c>
      <c r="K1342" s="30">
        <v>2930842</v>
      </c>
      <c r="L1342" s="11"/>
    </row>
    <row r="1343" spans="1:12" ht="13.5" customHeight="1">
      <c r="A1343" s="214"/>
      <c r="B1343" s="197"/>
      <c r="C1343" s="197"/>
      <c r="D1343" s="228"/>
      <c r="E1343" s="228"/>
      <c r="F1343" s="197"/>
      <c r="G1343" s="26" t="str">
        <f ca="1">IFERROR(__xludf.DUMMYFUNCTION("IF(I1447="""","""",FILTER(DATOS!$D$4:$D$237,DATOS!$B$4:$B$237=I1447))"),"11-204")</f>
        <v>11-204</v>
      </c>
      <c r="H1343" s="26" t="str">
        <f ca="1">IFERROR(__xludf.DUMMYFUNCTION("IF(I1447="""","""",FILTER(DATOS!$C$4:$C$237,DATOS!$B$4:$B$237=I1447))"),"SUBA")</f>
        <v>SUBA</v>
      </c>
      <c r="I1343" s="150" t="s">
        <v>68</v>
      </c>
      <c r="J1343" s="66" t="s">
        <v>526</v>
      </c>
      <c r="K1343" s="30">
        <v>8588441.5999999996</v>
      </c>
      <c r="L1343" s="11"/>
    </row>
    <row r="1344" spans="1:12" ht="13.5" customHeight="1">
      <c r="A1344" s="214"/>
      <c r="B1344" s="197"/>
      <c r="C1344" s="197"/>
      <c r="D1344" s="228"/>
      <c r="E1344" s="228"/>
      <c r="F1344" s="197"/>
      <c r="G1344" s="32" t="str">
        <f ca="1">IFERROR(__xludf.DUMMYFUNCTION("IF(I1448="""","""",FILTER(DATOS!$D$4:$D$237,DATOS!$B$4:$B$237=I1448))"),"12-1000")</f>
        <v>12-1000</v>
      </c>
      <c r="H1344" s="32" t="str">
        <f ca="1">IFERROR(__xludf.DUMMYFUNCTION("IF(I1448="""","""",FILTER(DATOS!$C$4:$C$237,DATOS!$B$4:$B$237=I1448))"),"BARRIOS UNIDOS")</f>
        <v>BARRIOS UNIDOS</v>
      </c>
      <c r="I1344" s="150" t="s">
        <v>28</v>
      </c>
      <c r="J1344" s="66" t="s">
        <v>526</v>
      </c>
      <c r="K1344" s="30">
        <v>36423539.75</v>
      </c>
      <c r="L1344" s="11"/>
    </row>
    <row r="1345" spans="1:12" ht="13.5" customHeight="1">
      <c r="A1345" s="214"/>
      <c r="B1345" s="197"/>
      <c r="C1345" s="197"/>
      <c r="D1345" s="228"/>
      <c r="E1345" s="228"/>
      <c r="F1345" s="197"/>
      <c r="G1345" s="26" t="str">
        <f ca="1">IFERROR(__xludf.DUMMYFUNCTION("IF(I1449="""","""",FILTER(DATOS!$D$4:$D$237,DATOS!$B$4:$B$237=I1449))"),"06-063")</f>
        <v>06-063</v>
      </c>
      <c r="H1345" s="26" t="str">
        <f ca="1">IFERROR(__xludf.DUMMYFUNCTION("IF(I1449="""","""",FILTER(DATOS!$C$4:$C$237,DATOS!$B$4:$B$237=I1449))"),"TUNJUELITO")</f>
        <v>TUNJUELITO</v>
      </c>
      <c r="I1345" s="150" t="s">
        <v>88</v>
      </c>
      <c r="J1345" s="66" t="s">
        <v>526</v>
      </c>
      <c r="K1345" s="30">
        <v>23674321.5</v>
      </c>
      <c r="L1345" s="11"/>
    </row>
    <row r="1346" spans="1:12" ht="15.75" customHeight="1">
      <c r="A1346" s="214"/>
      <c r="B1346" s="197"/>
      <c r="C1346" s="197"/>
      <c r="D1346" s="228"/>
      <c r="E1346" s="228"/>
      <c r="F1346" s="197"/>
      <c r="G1346" s="26" t="str">
        <f ca="1">IFERROR(__xludf.DUMMYFUNCTION("IF(I1450="""","""",FILTER(DATOS!$D$4:$D$237,DATOS!$B$4:$B$237=I1450))"),"08-554")</f>
        <v>08-554</v>
      </c>
      <c r="H1346" s="26" t="str">
        <f ca="1">IFERROR(__xludf.DUMMYFUNCTION("IF(I1450="""","""",FILTER(DATOS!$C$4:$C$237,DATOS!$B$4:$B$237=I1450))"),"KENNEDY")</f>
        <v>KENNEDY</v>
      </c>
      <c r="I1346" s="150" t="s">
        <v>90</v>
      </c>
      <c r="J1346" s="66" t="s">
        <v>529</v>
      </c>
      <c r="K1346" s="30">
        <v>32659013</v>
      </c>
      <c r="L1346" s="11"/>
    </row>
    <row r="1347" spans="1:12" ht="15.75" customHeight="1">
      <c r="A1347" s="214"/>
      <c r="B1347" s="197"/>
      <c r="C1347" s="197"/>
      <c r="D1347" s="228"/>
      <c r="E1347" s="228"/>
      <c r="F1347" s="197"/>
      <c r="G1347" s="26" t="str">
        <f ca="1">IFERROR(__xludf.DUMMYFUNCTION("IF(I1451="""","""",FILTER(DATOS!$D$4:$D$237,DATOS!$B$4:$B$237=I1451))"),"19-188")</f>
        <v>19-188</v>
      </c>
      <c r="H1347" s="26" t="str">
        <f ca="1">IFERROR(__xludf.DUMMYFUNCTION("IF(I1451="""","""",FILTER(DATOS!$C$4:$C$237,DATOS!$B$4:$B$237=I1451))"),"CIUDAD BOLIVAR")</f>
        <v>CIUDAD BOLIVAR</v>
      </c>
      <c r="I1347" s="81" t="s">
        <v>72</v>
      </c>
      <c r="J1347" s="66" t="s">
        <v>526</v>
      </c>
      <c r="K1347" s="30">
        <v>3006358</v>
      </c>
      <c r="L1347" s="11"/>
    </row>
    <row r="1348" spans="1:12" ht="15.75" customHeight="1">
      <c r="A1348" s="214"/>
      <c r="B1348" s="197"/>
      <c r="C1348" s="197"/>
      <c r="D1348" s="228"/>
      <c r="E1348" s="228"/>
      <c r="F1348" s="197"/>
      <c r="G1348" s="26" t="str">
        <f ca="1">IFERROR(__xludf.DUMMYFUNCTION("IF(I1452="""","""",FILTER(DATOS!$D$4:$D$237,DATOS!$B$4:$B$237=I1452))"),"08-219")</f>
        <v>08-219</v>
      </c>
      <c r="H1348" s="26" t="str">
        <f ca="1">IFERROR(__xludf.DUMMYFUNCTION("IF(I1452="""","""",FILTER(DATOS!$C$4:$C$237,DATOS!$B$4:$B$237=I1452))"),"KENNEDY")</f>
        <v>KENNEDY</v>
      </c>
      <c r="I1348" s="81" t="s">
        <v>132</v>
      </c>
      <c r="J1348" s="66" t="s">
        <v>526</v>
      </c>
      <c r="K1348" s="30">
        <v>4819634</v>
      </c>
      <c r="L1348" s="11"/>
    </row>
    <row r="1349" spans="1:12" ht="15.75" customHeight="1">
      <c r="A1349" s="214"/>
      <c r="B1349" s="197"/>
      <c r="C1349" s="197"/>
      <c r="D1349" s="228"/>
      <c r="E1349" s="228"/>
      <c r="F1349" s="197"/>
      <c r="G1349" s="26" t="str">
        <f ca="1">IFERROR(__xludf.DUMMYFUNCTION("IF(I1453="""","""",FILTER(DATOS!$D$4:$D$237,DATOS!$B$4:$B$237=I1453))"),"06-063")</f>
        <v>06-063</v>
      </c>
      <c r="H1349" s="26" t="str">
        <f ca="1">IFERROR(__xludf.DUMMYFUNCTION("IF(I1453="""","""",FILTER(DATOS!$C$4:$C$237,DATOS!$B$4:$B$237=I1453))"),"TUNJUELITO")</f>
        <v>TUNJUELITO</v>
      </c>
      <c r="I1349" s="81" t="s">
        <v>87</v>
      </c>
      <c r="J1349" s="66" t="s">
        <v>526</v>
      </c>
      <c r="K1349" s="30">
        <v>12690334</v>
      </c>
      <c r="L1349" s="11"/>
    </row>
    <row r="1350" spans="1:12" ht="25.5" thickBot="1">
      <c r="A1350" s="186"/>
      <c r="B1350" s="191"/>
      <c r="C1350" s="191"/>
      <c r="D1350" s="229"/>
      <c r="E1350" s="229"/>
      <c r="F1350" s="191"/>
      <c r="G1350" s="91"/>
      <c r="H1350" s="91"/>
      <c r="I1350" s="145"/>
      <c r="J1350" s="66" t="s">
        <v>530</v>
      </c>
      <c r="K1350" s="30">
        <v>37818561</v>
      </c>
      <c r="L1350" s="11"/>
    </row>
    <row r="1351" spans="1:12" ht="26.25" customHeight="1">
      <c r="A1351" s="213" t="s">
        <v>531</v>
      </c>
      <c r="B1351" s="215" t="s">
        <v>532</v>
      </c>
      <c r="C1351" s="215" t="s">
        <v>533</v>
      </c>
      <c r="D1351" s="250">
        <v>45146</v>
      </c>
      <c r="E1351" s="250">
        <v>45526</v>
      </c>
      <c r="F1351" s="217">
        <v>1</v>
      </c>
      <c r="G1351" s="21" t="str">
        <f ca="1">IFERROR(__xludf.DUMMYFUNCTION("IF(I1455="""","""",FILTER(DATOS!$D$4:$D$237,DATOS!$B$4:$B$237=I1455))"),"03-035")</f>
        <v>03-035</v>
      </c>
      <c r="H1351" s="21" t="str">
        <f ca="1">IFERROR(__xludf.DUMMYFUNCTION("IF(I1455="""","""",FILTER(DATOS!$C$4:$C$237,DATOS!$B$4:$B$237=I1455))"),"SANTAFE")</f>
        <v>SANTAFE</v>
      </c>
      <c r="I1351" s="77" t="s">
        <v>46</v>
      </c>
      <c r="J1351" s="77" t="s">
        <v>534</v>
      </c>
      <c r="K1351" s="146">
        <v>23230838</v>
      </c>
      <c r="L1351" s="57">
        <v>888800000</v>
      </c>
    </row>
    <row r="1352" spans="1:12" ht="27.75" customHeight="1">
      <c r="A1352" s="214"/>
      <c r="B1352" s="197"/>
      <c r="C1352" s="197"/>
      <c r="D1352" s="228"/>
      <c r="E1352" s="228"/>
      <c r="F1352" s="197"/>
      <c r="G1352" s="26" t="str">
        <f ca="1">IFERROR(__xludf.DUMMYFUNCTION("IF(I1457="""","""",FILTER(DATOS!$D$4:$D$237,DATOS!$B$4:$B$237=I1457))"),"13-089")</f>
        <v>13-089</v>
      </c>
      <c r="H1352" s="26" t="str">
        <f ca="1">IFERROR(__xludf.DUMMYFUNCTION("IF(I1457="""","""",FILTER(DATOS!$C$4:$C$237,DATOS!$B$4:$B$237=I1457))"),"TEUSAQUILLO")</f>
        <v>TEUSAQUILLO</v>
      </c>
      <c r="I1352" s="36" t="s">
        <v>59</v>
      </c>
      <c r="J1352" s="82" t="s">
        <v>534</v>
      </c>
      <c r="K1352" s="30">
        <v>23855512</v>
      </c>
      <c r="L1352" s="11"/>
    </row>
    <row r="1353" spans="1:12" ht="32.25" customHeight="1">
      <c r="A1353" s="214"/>
      <c r="B1353" s="197"/>
      <c r="C1353" s="197"/>
      <c r="D1353" s="228"/>
      <c r="E1353" s="228"/>
      <c r="F1353" s="197"/>
      <c r="G1353" s="26" t="str">
        <f ca="1">IFERROR(__xludf.DUMMYFUNCTION("IF(I1459="""","""",FILTER(DATOS!$D$4:$D$237,DATOS!$B$4:$B$237=I1459))"),"10-290")</f>
        <v>10-290</v>
      </c>
      <c r="H1353" s="26" t="str">
        <f ca="1">IFERROR(__xludf.DUMMYFUNCTION("IF(I1459="""","""",FILTER(DATOS!$C$4:$C$237,DATOS!$B$4:$B$237=I1459))"),"ENGATIVA")</f>
        <v>ENGATIVA</v>
      </c>
      <c r="I1353" s="36" t="s">
        <v>62</v>
      </c>
      <c r="J1353" s="82" t="s">
        <v>534</v>
      </c>
      <c r="K1353" s="30">
        <v>3392243</v>
      </c>
      <c r="L1353" s="11"/>
    </row>
    <row r="1354" spans="1:12" ht="15.75" customHeight="1">
      <c r="A1354" s="214"/>
      <c r="B1354" s="197"/>
      <c r="C1354" s="197"/>
      <c r="D1354" s="228"/>
      <c r="E1354" s="228"/>
      <c r="F1354" s="197"/>
      <c r="G1354" s="26" t="str">
        <f ca="1">IFERROR(__xludf.DUMMYFUNCTION("IF(I1464="""","""",FILTER(DATOS!$D$4:$D$237,DATOS!$B$4:$B$237=I1464))"),"12-092")</f>
        <v>12-092</v>
      </c>
      <c r="H1354" s="26" t="str">
        <f ca="1">IFERROR(__xludf.DUMMYFUNCTION("IF(I1464="""","""",FILTER(DATOS!$C$4:$C$237,DATOS!$B$4:$B$237=I1464))"),"BARRIOS UNIDOS")</f>
        <v>BARRIOS UNIDOS</v>
      </c>
      <c r="I1354" s="36" t="s">
        <v>31</v>
      </c>
      <c r="J1354" s="36" t="s">
        <v>534</v>
      </c>
      <c r="K1354" s="30">
        <v>7773844</v>
      </c>
      <c r="L1354" s="11"/>
    </row>
    <row r="1355" spans="1:12" ht="15.75" customHeight="1">
      <c r="A1355" s="214"/>
      <c r="B1355" s="197"/>
      <c r="C1355" s="197"/>
      <c r="D1355" s="228"/>
      <c r="E1355" s="228"/>
      <c r="F1355" s="197"/>
      <c r="G1355" s="26" t="str">
        <f ca="1">IFERROR(__xludf.DUMMYFUNCTION("IF(I1465="""","""",FILTER(DATOS!$D$4:$D$237,DATOS!$B$4:$B$237=I1465))"),"13-129")</f>
        <v>13-129</v>
      </c>
      <c r="H1355" s="26" t="str">
        <f ca="1">IFERROR(__xludf.DUMMYFUNCTION("IF(I1465="""","""",FILTER(DATOS!$C$4:$C$237,DATOS!$B$4:$B$237=I1465))"),"TEUSAQUILLO")</f>
        <v>TEUSAQUILLO</v>
      </c>
      <c r="I1355" s="36" t="s">
        <v>44</v>
      </c>
      <c r="J1355" s="36" t="s">
        <v>534</v>
      </c>
      <c r="K1355" s="30">
        <v>63705743</v>
      </c>
      <c r="L1355" s="11"/>
    </row>
    <row r="1356" spans="1:12" ht="28.5" customHeight="1">
      <c r="A1356" s="214"/>
      <c r="B1356" s="197"/>
      <c r="C1356" s="197"/>
      <c r="D1356" s="228"/>
      <c r="E1356" s="228"/>
      <c r="F1356" s="197"/>
      <c r="G1356" s="26" t="str">
        <f ca="1">IFERROR(__xludf.DUMMYFUNCTION("IF(I1466="""","""",FILTER(DATOS!$D$4:$D$237,DATOS!$B$4:$B$237=I1466))"),"03-035")</f>
        <v>03-035</v>
      </c>
      <c r="H1356" s="26" t="str">
        <f ca="1">IFERROR(__xludf.DUMMYFUNCTION("IF(I1466="""","""",FILTER(DATOS!$C$4:$C$237,DATOS!$B$4:$B$237=I1466))"),"SANTAFE")</f>
        <v>SANTAFE</v>
      </c>
      <c r="I1356" s="36" t="s">
        <v>46</v>
      </c>
      <c r="J1356" s="36" t="s">
        <v>535</v>
      </c>
      <c r="K1356" s="30">
        <v>11169888</v>
      </c>
      <c r="L1356" s="11"/>
    </row>
    <row r="1357" spans="1:12" ht="15.75" customHeight="1">
      <c r="A1357" s="214"/>
      <c r="B1357" s="197"/>
      <c r="C1357" s="197"/>
      <c r="D1357" s="228"/>
      <c r="E1357" s="228"/>
      <c r="F1357" s="197"/>
      <c r="G1357" s="26" t="str">
        <f ca="1">IFERROR(__xludf.DUMMYFUNCTION("IF(I1472="""","""",FILTER(DATOS!$D$4:$D$237,DATOS!$B$4:$B$237=I1472))"),"09-125")</f>
        <v>09-125</v>
      </c>
      <c r="H1357" s="26" t="str">
        <f ca="1">IFERROR(__xludf.DUMMYFUNCTION("IF(I1472="""","""",FILTER(DATOS!$C$4:$C$237,DATOS!$B$4:$B$237=I1472))"),"FONTIBON")</f>
        <v>FONTIBON</v>
      </c>
      <c r="I1357" s="36" t="s">
        <v>67</v>
      </c>
      <c r="J1357" s="36" t="s">
        <v>534</v>
      </c>
      <c r="K1357" s="30">
        <v>18548775</v>
      </c>
      <c r="L1357" s="11"/>
    </row>
    <row r="1358" spans="1:12" ht="15.75" customHeight="1">
      <c r="A1358" s="214"/>
      <c r="B1358" s="197"/>
      <c r="C1358" s="197"/>
      <c r="D1358" s="228"/>
      <c r="E1358" s="228"/>
      <c r="F1358" s="197"/>
      <c r="G1358" s="26" t="str">
        <f ca="1">IFERROR(__xludf.DUMMYFUNCTION("IF(I1474="""","""",FILTER(DATOS!$D$4:$D$237,DATOS!$B$4:$B$237=I1474))"),"10-311")</f>
        <v>10-311</v>
      </c>
      <c r="H1358" s="26" t="str">
        <f ca="1">IFERROR(__xludf.DUMMYFUNCTION("IF(I1474="""","""",FILTER(DATOS!$C$4:$C$237,DATOS!$B$4:$B$237=I1474))"),"ENGATIVA")</f>
        <v>ENGATIVA</v>
      </c>
      <c r="I1358" s="36" t="s">
        <v>38</v>
      </c>
      <c r="J1358" s="36" t="s">
        <v>534</v>
      </c>
      <c r="K1358" s="30">
        <v>266588787</v>
      </c>
      <c r="L1358" s="11"/>
    </row>
    <row r="1359" spans="1:12" ht="15.75" customHeight="1">
      <c r="A1359" s="214"/>
      <c r="B1359" s="197"/>
      <c r="C1359" s="197"/>
      <c r="D1359" s="228"/>
      <c r="E1359" s="228"/>
      <c r="F1359" s="197"/>
      <c r="G1359" s="102" t="str">
        <f ca="1">IFERROR(__xludf.DUMMYFUNCTION("IF(I1475="""","""",FILTER(DATOS!$D$4:$D$237,DATOS!$B$4:$B$237=I1475))"),"08-219")</f>
        <v>08-219</v>
      </c>
      <c r="H1359" s="102" t="str">
        <f ca="1">IFERROR(__xludf.DUMMYFUNCTION("IF(I1475="""","""",FILTER(DATOS!$C$4:$C$237,DATOS!$B$4:$B$237=I1475))"),"KENNEDY")</f>
        <v>KENNEDY</v>
      </c>
      <c r="I1359" s="36" t="s">
        <v>132</v>
      </c>
      <c r="J1359" s="36" t="s">
        <v>534</v>
      </c>
      <c r="K1359" s="30">
        <v>3048276</v>
      </c>
      <c r="L1359" s="11"/>
    </row>
    <row r="1360" spans="1:12" ht="15.75" customHeight="1">
      <c r="A1360" s="214"/>
      <c r="B1360" s="197"/>
      <c r="C1360" s="197"/>
      <c r="D1360" s="228"/>
      <c r="E1360" s="228"/>
      <c r="F1360" s="197"/>
      <c r="G1360" s="102" t="str">
        <f ca="1">IFERROR(__xludf.DUMMYFUNCTION("IF(I1476="""","""",FILTER(DATOS!$D$4:$D$237,DATOS!$B$4:$B$237=I1476))"),"03-051")</f>
        <v>03-051</v>
      </c>
      <c r="H1360" s="102" t="str">
        <f ca="1">IFERROR(__xludf.DUMMYFUNCTION("IF(I1476="""","""",FILTER(DATOS!$C$4:$C$237,DATOS!$B$4:$B$237=I1476))"),"SANTAFE")</f>
        <v>SANTAFE</v>
      </c>
      <c r="I1360" s="82" t="s">
        <v>60</v>
      </c>
      <c r="J1360" s="36" t="s">
        <v>534</v>
      </c>
      <c r="K1360" s="30">
        <v>29704108</v>
      </c>
      <c r="L1360" s="11"/>
    </row>
    <row r="1361" spans="1:12" ht="15.75" customHeight="1">
      <c r="A1361" s="214"/>
      <c r="B1361" s="197"/>
      <c r="C1361" s="197"/>
      <c r="D1361" s="228"/>
      <c r="E1361" s="228"/>
      <c r="F1361" s="197"/>
      <c r="G1361" s="102" t="str">
        <f ca="1">IFERROR(__xludf.DUMMYFUNCTION("IF(I1477="""","""",FILTER(DATOS!$D$4:$D$237,DATOS!$B$4:$B$237=I1477))"),"03-093")</f>
        <v>03-093</v>
      </c>
      <c r="H1361" s="102" t="str">
        <f ca="1">IFERROR(__xludf.DUMMYFUNCTION("IF(I1477="""","""",FILTER(DATOS!$C$4:$C$237,DATOS!$B$4:$B$237=I1477))"),"SANTAFE")</f>
        <v>SANTAFE</v>
      </c>
      <c r="I1361" s="36" t="s">
        <v>51</v>
      </c>
      <c r="J1361" s="36" t="s">
        <v>534</v>
      </c>
      <c r="K1361" s="30">
        <v>1638074</v>
      </c>
      <c r="L1361" s="11"/>
    </row>
    <row r="1362" spans="1:12" ht="15.75" customHeight="1">
      <c r="A1362" s="214"/>
      <c r="B1362" s="197"/>
      <c r="C1362" s="197"/>
      <c r="D1362" s="228"/>
      <c r="E1362" s="228"/>
      <c r="F1362" s="197"/>
      <c r="G1362" s="102" t="str">
        <f ca="1">IFERROR(__xludf.DUMMYFUNCTION("IF(I1478="""","""",FILTER(DATOS!$D$4:$D$237,DATOS!$B$4:$B$237=I1478))"),"08-791")</f>
        <v>08-791</v>
      </c>
      <c r="H1362" s="102" t="str">
        <f ca="1">IFERROR(__xludf.DUMMYFUNCTION("IF(I1478="""","""",FILTER(DATOS!$C$4:$C$237,DATOS!$B$4:$B$237=I1478))"),"KENNEDY")</f>
        <v>KENNEDY</v>
      </c>
      <c r="I1362" s="36" t="s">
        <v>125</v>
      </c>
      <c r="J1362" s="36" t="s">
        <v>534</v>
      </c>
      <c r="K1362" s="30">
        <v>452565</v>
      </c>
      <c r="L1362" s="11"/>
    </row>
    <row r="1363" spans="1:12" ht="15.75" customHeight="1">
      <c r="A1363" s="214"/>
      <c r="B1363" s="197"/>
      <c r="C1363" s="197"/>
      <c r="D1363" s="228"/>
      <c r="E1363" s="228"/>
      <c r="F1363" s="197"/>
      <c r="G1363" s="102" t="str">
        <f ca="1">IFERROR(__xludf.DUMMYFUNCTION("IF(I1479="""","""",FILTER(DATOS!$D$4:$D$237,DATOS!$B$4:$B$237=I1479))"),"10-531")</f>
        <v>10-531</v>
      </c>
      <c r="H1363" s="102" t="str">
        <f ca="1">IFERROR(__xludf.DUMMYFUNCTION("IF(I1479="""","""",FILTER(DATOS!$C$4:$C$237,DATOS!$B$4:$B$237=I1479))"),"ENGATIVA")</f>
        <v>ENGATIVA</v>
      </c>
      <c r="I1363" s="36" t="s">
        <v>52</v>
      </c>
      <c r="J1363" s="36" t="s">
        <v>534</v>
      </c>
      <c r="K1363" s="30">
        <v>30213386</v>
      </c>
      <c r="L1363" s="11"/>
    </row>
    <row r="1364" spans="1:12" ht="15.75" customHeight="1">
      <c r="A1364" s="214"/>
      <c r="B1364" s="197"/>
      <c r="C1364" s="197"/>
      <c r="D1364" s="228"/>
      <c r="E1364" s="228"/>
      <c r="F1364" s="197"/>
      <c r="G1364" s="102" t="str">
        <f ca="1">IFERROR(__xludf.DUMMYFUNCTION("IF(I1480="""","""",FILTER(DATOS!$D$4:$D$237,DATOS!$B$4:$B$237=I1480))"),"03-039")</f>
        <v>03-039</v>
      </c>
      <c r="H1364" s="102" t="str">
        <f ca="1">IFERROR(__xludf.DUMMYFUNCTION("IF(I1480="""","""",FILTER(DATOS!$C$4:$C$237,DATOS!$B$4:$B$237=I1480))"),"SANTAFE")</f>
        <v>SANTAFE</v>
      </c>
      <c r="I1364" s="36" t="s">
        <v>40</v>
      </c>
      <c r="J1364" s="36" t="s">
        <v>534</v>
      </c>
      <c r="K1364" s="30">
        <v>1779177</v>
      </c>
      <c r="L1364" s="11"/>
    </row>
    <row r="1365" spans="1:12" ht="15.75" customHeight="1">
      <c r="A1365" s="214"/>
      <c r="B1365" s="197"/>
      <c r="C1365" s="197"/>
      <c r="D1365" s="228"/>
      <c r="E1365" s="228"/>
      <c r="F1365" s="197"/>
      <c r="G1365" s="102" t="str">
        <f ca="1">IFERROR(__xludf.DUMMYFUNCTION("IF(I1481="""","""",FILTER(DATOS!$D$4:$D$237,DATOS!$B$4:$B$237=I1481))"),"03-036")</f>
        <v>03-036</v>
      </c>
      <c r="H1365" s="102" t="str">
        <f ca="1">IFERROR(__xludf.DUMMYFUNCTION("IF(I1481="""","""",FILTER(DATOS!$C$4:$C$237,DATOS!$B$4:$B$237=I1481))"),"SANTAFE")</f>
        <v>SANTAFE</v>
      </c>
      <c r="I1365" s="36" t="s">
        <v>109</v>
      </c>
      <c r="J1365" s="36" t="s">
        <v>534</v>
      </c>
      <c r="K1365" s="30">
        <v>3967719</v>
      </c>
      <c r="L1365" s="11"/>
    </row>
    <row r="1366" spans="1:12" ht="15.75" customHeight="1" thickBot="1">
      <c r="A1366" s="214"/>
      <c r="B1366" s="197"/>
      <c r="C1366" s="197"/>
      <c r="D1366" s="228"/>
      <c r="E1366" s="228"/>
      <c r="F1366" s="197"/>
      <c r="G1366" s="102" t="str">
        <f ca="1">IFERROR(__xludf.DUMMYFUNCTION("IF(I1482="""","""",FILTER(DATOS!$D$4:$D$237,DATOS!$B$4:$B$237=I1482))"),"11-204")</f>
        <v>11-204</v>
      </c>
      <c r="H1366" s="102" t="str">
        <f ca="1">IFERROR(__xludf.DUMMYFUNCTION("IF(I1482="""","""",FILTER(DATOS!$C$4:$C$237,DATOS!$B$4:$B$237=I1482))"),"SUBA")</f>
        <v>SUBA</v>
      </c>
      <c r="I1366" s="36" t="s">
        <v>42</v>
      </c>
      <c r="J1366" s="36" t="s">
        <v>534</v>
      </c>
      <c r="K1366" s="30">
        <v>0</v>
      </c>
      <c r="L1366" s="11"/>
    </row>
    <row r="1367" spans="1:12" ht="21.75" customHeight="1">
      <c r="A1367" s="215" t="s">
        <v>536</v>
      </c>
      <c r="B1367" s="215" t="s">
        <v>537</v>
      </c>
      <c r="C1367" s="215" t="s">
        <v>538</v>
      </c>
      <c r="D1367" s="252">
        <v>45153</v>
      </c>
      <c r="E1367" s="252">
        <v>45557</v>
      </c>
      <c r="F1367" s="217">
        <v>1</v>
      </c>
      <c r="G1367" s="21" t="str">
        <f ca="1">IFERROR(__xludf.DUMMYFUNCTION("IF(I1484="""","""",FILTER(DATOS!$D$4:$D$237,DATOS!$B$4:$B$237=I1484))"),"13-089")</f>
        <v>13-089</v>
      </c>
      <c r="H1367" s="21" t="str">
        <f ca="1">IFERROR(__xludf.DUMMYFUNCTION("IF(I1484="""","""",FILTER(DATOS!$C$4:$C$237,DATOS!$B$4:$B$237=I1484))"),"TEUSAQUILLO")</f>
        <v>TEUSAQUILLO</v>
      </c>
      <c r="I1367" s="77" t="s">
        <v>59</v>
      </c>
      <c r="J1367" s="151" t="s">
        <v>539</v>
      </c>
      <c r="K1367" s="146">
        <v>489501323</v>
      </c>
      <c r="L1367" s="143">
        <v>2513909919</v>
      </c>
    </row>
    <row r="1368" spans="1:12" ht="15.75" customHeight="1">
      <c r="A1368" s="197"/>
      <c r="B1368" s="197"/>
      <c r="C1368" s="197"/>
      <c r="D1368" s="197"/>
      <c r="E1368" s="197"/>
      <c r="F1368" s="197"/>
      <c r="G1368" s="26" t="str">
        <f ca="1">IFERROR(__xludf.DUMMYFUNCTION("IF(I1485="""","""",FILTER(DATOS!$D$4:$D$237,DATOS!$B$4:$B$237=I1485))"),"08-219")</f>
        <v>08-219</v>
      </c>
      <c r="H1368" s="26" t="str">
        <f ca="1">IFERROR(__xludf.DUMMYFUNCTION("IF(I1485="""","""",FILTER(DATOS!$C$4:$C$237,DATOS!$B$4:$B$237=I1485))"),"KENNEDY")</f>
        <v>KENNEDY</v>
      </c>
      <c r="I1368" s="36" t="s">
        <v>132</v>
      </c>
      <c r="J1368" s="36" t="s">
        <v>539</v>
      </c>
      <c r="K1368" s="30">
        <v>169733340</v>
      </c>
      <c r="L1368" s="11"/>
    </row>
    <row r="1369" spans="1:12" ht="15.75" customHeight="1">
      <c r="A1369" s="197"/>
      <c r="B1369" s="197"/>
      <c r="C1369" s="197"/>
      <c r="D1369" s="197"/>
      <c r="E1369" s="197"/>
      <c r="F1369" s="197"/>
      <c r="G1369" s="26" t="str">
        <f ca="1">IFERROR(__xludf.DUMMYFUNCTION("IF(I1486="""","""",FILTER(DATOS!$D$4:$D$237,DATOS!$B$4:$B$237=I1486))"),"10-311")</f>
        <v>10-311</v>
      </c>
      <c r="H1369" s="26" t="str">
        <f ca="1">IFERROR(__xludf.DUMMYFUNCTION("IF(I1486="""","""",FILTER(DATOS!$C$4:$C$237,DATOS!$B$4:$B$237=I1486))"),"ENGATIVA")</f>
        <v>ENGATIVA</v>
      </c>
      <c r="I1369" s="36" t="s">
        <v>38</v>
      </c>
      <c r="J1369" s="36" t="s">
        <v>539</v>
      </c>
      <c r="K1369" s="30">
        <v>167472418</v>
      </c>
      <c r="L1369" s="11"/>
    </row>
    <row r="1370" spans="1:12" ht="15.75" customHeight="1">
      <c r="A1370" s="197"/>
      <c r="B1370" s="197"/>
      <c r="C1370" s="197"/>
      <c r="D1370" s="197"/>
      <c r="E1370" s="197"/>
      <c r="F1370" s="197"/>
      <c r="G1370" s="26" t="str">
        <f ca="1">IFERROR(__xludf.DUMMYFUNCTION("IF(I1487="""","""",FILTER(DATOS!$D$4:$D$237,DATOS!$B$4:$B$237=I1487))"),"12-092")</f>
        <v>12-092</v>
      </c>
      <c r="H1370" s="26" t="str">
        <f ca="1">IFERROR(__xludf.DUMMYFUNCTION("IF(I1487="""","""",FILTER(DATOS!$C$4:$C$237,DATOS!$B$4:$B$237=I1487))"),"BARRIOS UNIDOS")</f>
        <v>BARRIOS UNIDOS</v>
      </c>
      <c r="I1370" s="36" t="s">
        <v>31</v>
      </c>
      <c r="J1370" s="36" t="s">
        <v>539</v>
      </c>
      <c r="K1370" s="30">
        <v>170278423</v>
      </c>
      <c r="L1370" s="11"/>
    </row>
    <row r="1371" spans="1:12" ht="15.75" customHeight="1">
      <c r="A1371" s="197"/>
      <c r="B1371" s="197"/>
      <c r="C1371" s="197"/>
      <c r="D1371" s="197"/>
      <c r="E1371" s="197"/>
      <c r="F1371" s="197"/>
      <c r="G1371" s="26" t="str">
        <f ca="1">IFERROR(__xludf.DUMMYFUNCTION("IF(I1488="""","""",FILTER(DATOS!$D$4:$D$237,DATOS!$B$4:$B$237=I1488))"),"12-141")</f>
        <v>12-141</v>
      </c>
      <c r="H1371" s="26" t="str">
        <f ca="1">IFERROR(__xludf.DUMMYFUNCTION("IF(I1488="""","""",FILTER(DATOS!$C$4:$C$237,DATOS!$B$4:$B$237=I1488))"),"BARRIOS UNIDOS")</f>
        <v>BARRIOS UNIDOS</v>
      </c>
      <c r="I1371" s="36" t="s">
        <v>48</v>
      </c>
      <c r="J1371" s="36" t="s">
        <v>539</v>
      </c>
      <c r="K1371" s="30">
        <v>83630721</v>
      </c>
      <c r="L1371" s="11"/>
    </row>
    <row r="1372" spans="1:12" ht="15.75" customHeight="1">
      <c r="A1372" s="197"/>
      <c r="B1372" s="197"/>
      <c r="C1372" s="197"/>
      <c r="D1372" s="197"/>
      <c r="E1372" s="197"/>
      <c r="F1372" s="197"/>
      <c r="G1372" s="26" t="str">
        <f ca="1">IFERROR(__xludf.DUMMYFUNCTION("IF(I1489="""","""",FILTER(DATOS!$D$4:$D$237,DATOS!$B$4:$B$237=I1489))"),"03-035")</f>
        <v>03-035</v>
      </c>
      <c r="H1372" s="26" t="str">
        <f ca="1">IFERROR(__xludf.DUMMYFUNCTION("IF(I1489="""","""",FILTER(DATOS!$C$4:$C$237,DATOS!$B$4:$B$237=I1489))"),"SANTAFE")</f>
        <v>SANTAFE</v>
      </c>
      <c r="I1372" s="36" t="s">
        <v>46</v>
      </c>
      <c r="J1372" s="36" t="s">
        <v>539</v>
      </c>
      <c r="K1372" s="30">
        <v>58206859</v>
      </c>
      <c r="L1372" s="11"/>
    </row>
    <row r="1373" spans="1:12" ht="15.75" customHeight="1">
      <c r="A1373" s="197"/>
      <c r="B1373" s="197"/>
      <c r="C1373" s="197"/>
      <c r="D1373" s="197"/>
      <c r="E1373" s="197"/>
      <c r="F1373" s="197"/>
      <c r="G1373" s="26" t="str">
        <f ca="1">IFERROR(__xludf.DUMMYFUNCTION("IF(I1490="""","""",FILTER(DATOS!$D$4:$D$237,DATOS!$B$4:$B$237=I1490))"),"02-019")</f>
        <v>02-019</v>
      </c>
      <c r="H1373" s="26" t="str">
        <f ca="1">IFERROR(__xludf.DUMMYFUNCTION("IF(I1490="""","""",FILTER(DATOS!$C$4:$C$237,DATOS!$B$4:$B$237=I1490))"),"CHAPINERO")</f>
        <v>CHAPINERO</v>
      </c>
      <c r="I1373" s="36" t="s">
        <v>219</v>
      </c>
      <c r="J1373" s="36" t="s">
        <v>539</v>
      </c>
      <c r="K1373" s="30">
        <v>48506451</v>
      </c>
      <c r="L1373" s="11"/>
    </row>
    <row r="1374" spans="1:12" ht="15.75" customHeight="1">
      <c r="A1374" s="197"/>
      <c r="B1374" s="197"/>
      <c r="C1374" s="197"/>
      <c r="D1374" s="197"/>
      <c r="E1374" s="197"/>
      <c r="F1374" s="197"/>
      <c r="G1374" s="26" t="str">
        <f ca="1">IFERROR(__xludf.DUMMYFUNCTION("IF(I1491="""","""",FILTER(DATOS!$D$4:$D$237,DATOS!$B$4:$B$237=I1491))"),"08-554")</f>
        <v>08-554</v>
      </c>
      <c r="H1374" s="26" t="str">
        <f ca="1">IFERROR(__xludf.DUMMYFUNCTION("IF(I1491="""","""",FILTER(DATOS!$C$4:$C$237,DATOS!$B$4:$B$237=I1491))"),"KENNEDY")</f>
        <v>KENNEDY</v>
      </c>
      <c r="I1374" s="36" t="s">
        <v>90</v>
      </c>
      <c r="J1374" s="36" t="s">
        <v>539</v>
      </c>
      <c r="K1374" s="30">
        <v>55576877</v>
      </c>
      <c r="L1374" s="11"/>
    </row>
    <row r="1375" spans="1:12" ht="15.75" customHeight="1">
      <c r="A1375" s="197"/>
      <c r="B1375" s="197"/>
      <c r="C1375" s="197"/>
      <c r="D1375" s="197"/>
      <c r="E1375" s="197"/>
      <c r="F1375" s="197"/>
      <c r="G1375" s="26" t="str">
        <f ca="1">IFERROR(__xludf.DUMMYFUNCTION("IF(I1492="""","""",FILTER(DATOS!$D$4:$D$237,DATOS!$B$4:$B$237=I1492))"),"14-036")</f>
        <v>14-036</v>
      </c>
      <c r="H1375" s="26" t="str">
        <f ca="1">IFERROR(__xludf.DUMMYFUNCTION("IF(I1492="""","""",FILTER(DATOS!$C$4:$C$237,DATOS!$B$4:$B$237=I1492))"),"MARTIRES")</f>
        <v>MARTIRES</v>
      </c>
      <c r="I1375" s="36" t="s">
        <v>55</v>
      </c>
      <c r="J1375" s="36" t="s">
        <v>539</v>
      </c>
      <c r="K1375" s="30">
        <v>68609406</v>
      </c>
      <c r="L1375" s="11"/>
    </row>
    <row r="1376" spans="1:12" ht="15.75" customHeight="1">
      <c r="A1376" s="197"/>
      <c r="B1376" s="197"/>
      <c r="C1376" s="197"/>
      <c r="D1376" s="197"/>
      <c r="E1376" s="197"/>
      <c r="F1376" s="197"/>
      <c r="G1376" s="26" t="str">
        <f ca="1">IFERROR(__xludf.DUMMYFUNCTION("IF(I1493="""","""",FILTER(DATOS!$D$4:$D$237,DATOS!$B$4:$B$237=I1493))"),"16-112")</f>
        <v>16-112</v>
      </c>
      <c r="H1376" s="26" t="str">
        <f ca="1">IFERROR(__xludf.DUMMYFUNCTION("IF(I1493="""","""",FILTER(DATOS!$C$4:$C$237,DATOS!$B$4:$B$237=I1493))"),"PUENTE ARANDA")</f>
        <v>PUENTE ARANDA</v>
      </c>
      <c r="I1376" s="36" t="s">
        <v>79</v>
      </c>
      <c r="J1376" s="36" t="s">
        <v>539</v>
      </c>
      <c r="K1376" s="30">
        <v>72488818</v>
      </c>
      <c r="L1376" s="11"/>
    </row>
    <row r="1377" spans="1:12" ht="15.75" customHeight="1">
      <c r="A1377" s="197"/>
      <c r="B1377" s="197"/>
      <c r="C1377" s="197"/>
      <c r="D1377" s="197"/>
      <c r="E1377" s="197"/>
      <c r="F1377" s="197"/>
      <c r="G1377" s="26" t="str">
        <f ca="1">IFERROR(__xludf.DUMMYFUNCTION("IF(I1494="""","""",FILTER(DATOS!$D$4:$D$237,DATOS!$B$4:$B$237=I1494))"),"13-088")</f>
        <v>13-088</v>
      </c>
      <c r="H1377" s="26" t="str">
        <f ca="1">IFERROR(__xludf.DUMMYFUNCTION("IF(I1494="""","""",FILTER(DATOS!$C$4:$C$237,DATOS!$B$4:$B$237=I1494))"),"TEUSAQUILLO")</f>
        <v>TEUSAQUILLO</v>
      </c>
      <c r="I1377" s="36" t="s">
        <v>66</v>
      </c>
      <c r="J1377" s="36" t="s">
        <v>539</v>
      </c>
      <c r="K1377" s="30">
        <v>152398604</v>
      </c>
      <c r="L1377" s="11"/>
    </row>
    <row r="1378" spans="1:12" ht="15.75" customHeight="1">
      <c r="A1378" s="197"/>
      <c r="B1378" s="197"/>
      <c r="C1378" s="197"/>
      <c r="D1378" s="197"/>
      <c r="E1378" s="197"/>
      <c r="F1378" s="197"/>
      <c r="G1378" s="26" t="str">
        <f ca="1">IFERROR(__xludf.DUMMYFUNCTION("IF(I1495="""","""",FILTER(DATOS!$D$4:$D$237,DATOS!$B$4:$B$237=I1495))"),"06-063")</f>
        <v>06-063</v>
      </c>
      <c r="H1378" s="26" t="str">
        <f ca="1">IFERROR(__xludf.DUMMYFUNCTION("IF(I1495="""","""",FILTER(DATOS!$C$4:$C$237,DATOS!$B$4:$B$237=I1495))"),"TUNJUELITO")</f>
        <v>TUNJUELITO</v>
      </c>
      <c r="I1378" s="36" t="s">
        <v>87</v>
      </c>
      <c r="J1378" s="36" t="s">
        <v>539</v>
      </c>
      <c r="K1378" s="30">
        <v>64497078</v>
      </c>
      <c r="L1378" s="11"/>
    </row>
    <row r="1379" spans="1:12" ht="15.75" customHeight="1">
      <c r="A1379" s="197"/>
      <c r="B1379" s="197"/>
      <c r="C1379" s="197"/>
      <c r="D1379" s="197"/>
      <c r="E1379" s="197"/>
      <c r="F1379" s="197"/>
      <c r="G1379" s="26" t="str">
        <f ca="1">IFERROR(__xludf.DUMMYFUNCTION("IF(I1496="""","""",FILTER(DATOS!$D$4:$D$237,DATOS!$B$4:$B$237=I1496))"),"03-085")</f>
        <v>03-085</v>
      </c>
      <c r="H1379" s="26" t="str">
        <f ca="1">IFERROR(__xludf.DUMMYFUNCTION("IF(I1496="""","""",FILTER(DATOS!$C$4:$C$237,DATOS!$B$4:$B$237=I1496))"),"SANTAFE")</f>
        <v>SANTAFE</v>
      </c>
      <c r="I1379" s="36" t="s">
        <v>129</v>
      </c>
      <c r="J1379" s="36" t="s">
        <v>539</v>
      </c>
      <c r="K1379" s="30">
        <v>50139612</v>
      </c>
      <c r="L1379" s="11"/>
    </row>
    <row r="1380" spans="1:12" ht="15.75" customHeight="1">
      <c r="A1380" s="197"/>
      <c r="B1380" s="197"/>
      <c r="C1380" s="197"/>
      <c r="D1380" s="197"/>
      <c r="E1380" s="197"/>
      <c r="F1380" s="197"/>
      <c r="G1380" s="26" t="str">
        <f ca="1">IFERROR(__xludf.DUMMYFUNCTION("IF(I1497="""","""",FILTER(DATOS!$D$4:$D$237,DATOS!$B$4:$B$237=I1497))"),"05-087")</f>
        <v>05-087</v>
      </c>
      <c r="H1380" s="26" t="str">
        <f ca="1">IFERROR(__xludf.DUMMYFUNCTION("IF(I1497="""","""",FILTER(DATOS!$C$4:$C$237,DATOS!$B$4:$B$237=I1497))"),"USME")</f>
        <v>USME</v>
      </c>
      <c r="I1380" s="36" t="s">
        <v>135</v>
      </c>
      <c r="J1380" s="36" t="s">
        <v>539</v>
      </c>
      <c r="K1380" s="30">
        <v>47913740</v>
      </c>
      <c r="L1380" s="11"/>
    </row>
    <row r="1381" spans="1:12" ht="15.75" customHeight="1" thickBot="1">
      <c r="A1381" s="191"/>
      <c r="B1381" s="191"/>
      <c r="C1381" s="191"/>
      <c r="D1381" s="191"/>
      <c r="E1381" s="191"/>
      <c r="F1381" s="191"/>
      <c r="G1381" s="42" t="str">
        <f ca="1">IFERROR(__xludf.DUMMYFUNCTION("IF(I1498="""","""",FILTER(DATOS!$D$4:$D$237,DATOS!$B$4:$B$237=I1498))"),"12-110")</f>
        <v>12-110</v>
      </c>
      <c r="H1381" s="42" t="str">
        <f ca="1">IFERROR(__xludf.DUMMYFUNCTION("IF(I1498="""","""",FILTER(DATOS!$C$4:$C$237,DATOS!$B$4:$B$237=I1498))"),"BARRIOS UNIDOS")</f>
        <v>BARRIOS UNIDOS</v>
      </c>
      <c r="I1381" s="145" t="s">
        <v>120</v>
      </c>
      <c r="J1381" s="152" t="s">
        <v>539</v>
      </c>
      <c r="K1381" s="46">
        <v>51968149</v>
      </c>
      <c r="L1381" s="11"/>
    </row>
    <row r="1382" spans="1:12" ht="24" customHeight="1">
      <c r="A1382" s="213" t="s">
        <v>540</v>
      </c>
      <c r="B1382" s="215" t="s">
        <v>541</v>
      </c>
      <c r="C1382" s="215" t="s">
        <v>542</v>
      </c>
      <c r="D1382" s="250">
        <v>45110</v>
      </c>
      <c r="E1382" s="250">
        <v>45582</v>
      </c>
      <c r="F1382" s="254">
        <v>1</v>
      </c>
      <c r="G1382" s="21" t="str">
        <f ca="1">IFERROR(__xludf.DUMMYFUNCTION("IF(I1499="""","""",FILTER(DATOS!$D$4:$D$237,DATOS!$B$4:$B$237=I1499))"),"05-016")</f>
        <v>05-016</v>
      </c>
      <c r="H1382" s="21" t="str">
        <f ca="1">IFERROR(__xludf.DUMMYFUNCTION("IF(I1499="""","""",FILTER(DATOS!$C$4:$C$237,DATOS!$B$4:$B$237=I1499))"),"USME")</f>
        <v>USME</v>
      </c>
      <c r="I1382" s="77" t="s">
        <v>89</v>
      </c>
      <c r="J1382" s="77" t="s">
        <v>543</v>
      </c>
      <c r="K1382" s="146">
        <v>70444813.189999998</v>
      </c>
      <c r="L1382" s="57">
        <v>961308750</v>
      </c>
    </row>
    <row r="1383" spans="1:12" ht="24" customHeight="1">
      <c r="A1383" s="214"/>
      <c r="B1383" s="197"/>
      <c r="C1383" s="197"/>
      <c r="D1383" s="228"/>
      <c r="E1383" s="228"/>
      <c r="F1383" s="197"/>
      <c r="G1383" s="26" t="str">
        <f ca="1">IFERROR(__xludf.DUMMYFUNCTION("IF(I1500="""","""",FILTER(DATOS!$D$4:$D$237,DATOS!$B$4:$B$237=I1500))"),"19-230")</f>
        <v>19-230</v>
      </c>
      <c r="H1383" s="26" t="str">
        <f ca="1">IFERROR(__xludf.DUMMYFUNCTION("IF(I1500="""","""",FILTER(DATOS!$C$4:$C$237,DATOS!$B$4:$B$237=I1500))"),"CIUDAD BOLIVAR")</f>
        <v>CIUDAD BOLIVAR</v>
      </c>
      <c r="I1383" s="36" t="s">
        <v>111</v>
      </c>
      <c r="J1383" s="36" t="s">
        <v>543</v>
      </c>
      <c r="K1383" s="30">
        <v>52392302.829999998</v>
      </c>
      <c r="L1383" s="11"/>
    </row>
    <row r="1384" spans="1:12" ht="24" customHeight="1">
      <c r="A1384" s="214"/>
      <c r="B1384" s="197"/>
      <c r="C1384" s="197"/>
      <c r="D1384" s="228"/>
      <c r="E1384" s="228"/>
      <c r="F1384" s="197"/>
      <c r="G1384" s="26" t="str">
        <f ca="1">IFERROR(__xludf.DUMMYFUNCTION("IF(I1501="""","""",FILTER(DATOS!$D$4:$D$237,DATOS!$B$4:$B$237=I1501))"),"19-189")</f>
        <v>19-189</v>
      </c>
      <c r="H1384" s="26" t="str">
        <f ca="1">IFERROR(__xludf.DUMMYFUNCTION("IF(I1501="""","""",FILTER(DATOS!$C$4:$C$237,DATOS!$B$4:$B$237=I1501))"),"CIUDAD BOLIVAR")</f>
        <v>CIUDAD BOLIVAR</v>
      </c>
      <c r="I1384" s="36" t="s">
        <v>76</v>
      </c>
      <c r="J1384" s="36" t="s">
        <v>543</v>
      </c>
      <c r="K1384" s="30">
        <v>35601768</v>
      </c>
      <c r="L1384" s="11"/>
    </row>
    <row r="1385" spans="1:12" ht="24" customHeight="1">
      <c r="A1385" s="214"/>
      <c r="B1385" s="197"/>
      <c r="C1385" s="197"/>
      <c r="D1385" s="228"/>
      <c r="E1385" s="228"/>
      <c r="F1385" s="197"/>
      <c r="G1385" s="26" t="str">
        <f ca="1">IFERROR(__xludf.DUMMYFUNCTION("IF(I1502="""","""",FILTER(DATOS!$D$4:$D$237,DATOS!$B$4:$B$237=I1502))"),"06-063")</f>
        <v>06-063</v>
      </c>
      <c r="H1385" s="26" t="str">
        <f ca="1">IFERROR(__xludf.DUMMYFUNCTION("IF(I1502="""","""",FILTER(DATOS!$C$4:$C$237,DATOS!$B$4:$B$237=I1502))"),"TUNJUELITO")</f>
        <v>TUNJUELITO</v>
      </c>
      <c r="I1385" s="36" t="s">
        <v>88</v>
      </c>
      <c r="J1385" s="36" t="s">
        <v>543</v>
      </c>
      <c r="K1385" s="30">
        <v>71926598.430000007</v>
      </c>
      <c r="L1385" s="11"/>
    </row>
    <row r="1386" spans="1:12" ht="24" customHeight="1">
      <c r="A1386" s="214"/>
      <c r="B1386" s="197"/>
      <c r="C1386" s="197"/>
      <c r="D1386" s="228"/>
      <c r="E1386" s="228"/>
      <c r="F1386" s="197"/>
      <c r="G1386" s="26" t="str">
        <f ca="1">IFERROR(__xludf.DUMMYFUNCTION("IF(I1503="""","""",FILTER(DATOS!$D$4:$D$237,DATOS!$B$4:$B$237=I1503))"),"07-152")</f>
        <v>07-152</v>
      </c>
      <c r="H1386" s="26" t="str">
        <f ca="1">IFERROR(__xludf.DUMMYFUNCTION("IF(I1503="""","""",FILTER(DATOS!$C$4:$C$237,DATOS!$B$4:$B$237=I1503))"),"BOSA")</f>
        <v>BOSA</v>
      </c>
      <c r="I1386" s="36" t="s">
        <v>92</v>
      </c>
      <c r="J1386" s="36" t="s">
        <v>543</v>
      </c>
      <c r="K1386" s="30">
        <v>46702916.160000004</v>
      </c>
      <c r="L1386" s="11"/>
    </row>
    <row r="1387" spans="1:12" ht="24" customHeight="1">
      <c r="A1387" s="214"/>
      <c r="B1387" s="197"/>
      <c r="C1387" s="197"/>
      <c r="D1387" s="228"/>
      <c r="E1387" s="228"/>
      <c r="F1387" s="197"/>
      <c r="G1387" s="26" t="str">
        <f ca="1">IFERROR(__xludf.DUMMYFUNCTION("IF(I1504="""","""",FILTER(DATOS!$D$4:$D$237,DATOS!$B$4:$B$237=I1504))"),"08-034")</f>
        <v>08-034</v>
      </c>
      <c r="H1387" s="26" t="str">
        <f ca="1">IFERROR(__xludf.DUMMYFUNCTION("IF(I1504="""","""",FILTER(DATOS!$C$4:$C$237,DATOS!$B$4:$B$237=I1504))"),"KENNEDY")</f>
        <v>KENNEDY</v>
      </c>
      <c r="I1387" s="36" t="s">
        <v>118</v>
      </c>
      <c r="J1387" s="36" t="s">
        <v>543</v>
      </c>
      <c r="K1387" s="30">
        <v>55124581</v>
      </c>
      <c r="L1387" s="11"/>
    </row>
    <row r="1388" spans="1:12" ht="24" customHeight="1">
      <c r="A1388" s="214"/>
      <c r="B1388" s="197"/>
      <c r="C1388" s="197"/>
      <c r="D1388" s="228"/>
      <c r="E1388" s="228"/>
      <c r="F1388" s="197"/>
      <c r="G1388" s="26" t="str">
        <f ca="1">IFERROR(__xludf.DUMMYFUNCTION("IF(I1505="""","""",FILTER(DATOS!$D$4:$D$237,DATOS!$B$4:$B$237=I1505))"),"04-127")</f>
        <v>04-127</v>
      </c>
      <c r="H1388" s="26" t="str">
        <f ca="1">IFERROR(__xludf.DUMMYFUNCTION("IF(I1505="""","""",FILTER(DATOS!$C$4:$C$237,DATOS!$B$4:$B$237=I1505))"),"SAN CRISTOBAL")</f>
        <v>SAN CRISTOBAL</v>
      </c>
      <c r="I1388" s="40" t="s">
        <v>124</v>
      </c>
      <c r="J1388" s="36" t="s">
        <v>543</v>
      </c>
      <c r="K1388" s="30">
        <v>60406022.719999999</v>
      </c>
      <c r="L1388" s="11"/>
    </row>
    <row r="1389" spans="1:12" ht="24" customHeight="1">
      <c r="A1389" s="214"/>
      <c r="B1389" s="197"/>
      <c r="C1389" s="197"/>
      <c r="D1389" s="228"/>
      <c r="E1389" s="228"/>
      <c r="F1389" s="197"/>
      <c r="G1389" s="26" t="str">
        <f ca="1">IFERROR(__xludf.DUMMYFUNCTION("IF(I1506="""","""",FILTER(DATOS!$D$4:$D$237,DATOS!$B$4:$B$237=I1506))"),"09-111")</f>
        <v>09-111</v>
      </c>
      <c r="H1389" s="26" t="str">
        <f ca="1">IFERROR(__xludf.DUMMYFUNCTION("IF(I1506="""","""",FILTER(DATOS!$C$4:$C$237,DATOS!$B$4:$B$237=I1506))"),"FONTIBON")</f>
        <v>FONTIBON</v>
      </c>
      <c r="I1389" s="36" t="s">
        <v>57</v>
      </c>
      <c r="J1389" s="36" t="s">
        <v>543</v>
      </c>
      <c r="K1389" s="30">
        <v>127097412.22</v>
      </c>
      <c r="L1389" s="11"/>
    </row>
    <row r="1390" spans="1:12" ht="24" customHeight="1">
      <c r="A1390" s="214"/>
      <c r="B1390" s="197"/>
      <c r="C1390" s="197"/>
      <c r="D1390" s="228"/>
      <c r="E1390" s="228"/>
      <c r="F1390" s="197"/>
      <c r="G1390" s="32" t="str">
        <f ca="1">IFERROR(__xludf.DUMMYFUNCTION("IF(I1507="""","""",FILTER(DATOS!$D$4:$D$237,DATOS!$B$4:$B$237=I1507))"),"12-1000")</f>
        <v>12-1000</v>
      </c>
      <c r="H1390" s="32" t="str">
        <f ca="1">IFERROR(__xludf.DUMMYFUNCTION("IF(I1507="""","""",FILTER(DATOS!$C$4:$C$237,DATOS!$B$4:$B$237=I1507))"),"BARRIOS UNIDOS")</f>
        <v>BARRIOS UNIDOS</v>
      </c>
      <c r="I1390" s="36" t="s">
        <v>28</v>
      </c>
      <c r="J1390" s="36" t="s">
        <v>543</v>
      </c>
      <c r="K1390" s="30">
        <v>197536801.28999999</v>
      </c>
      <c r="L1390" s="11"/>
    </row>
    <row r="1391" spans="1:12" ht="24" customHeight="1">
      <c r="A1391" s="214"/>
      <c r="B1391" s="197"/>
      <c r="C1391" s="197"/>
      <c r="D1391" s="228"/>
      <c r="E1391" s="228"/>
      <c r="F1391" s="197"/>
      <c r="G1391" s="26" t="str">
        <f ca="1">IFERROR(__xludf.DUMMYFUNCTION("IF(I1508="""","""",FILTER(DATOS!$D$4:$D$237,DATOS!$B$4:$B$237=I1508))"),"10-223")</f>
        <v>10-223</v>
      </c>
      <c r="H1391" s="26" t="str">
        <f ca="1">IFERROR(__xludf.DUMMYFUNCTION("IF(I1508="""","""",FILTER(DATOS!$C$4:$C$237,DATOS!$B$4:$B$237=I1508))"),"ENGATIVA")</f>
        <v>ENGATIVA</v>
      </c>
      <c r="I1391" s="36" t="s">
        <v>41</v>
      </c>
      <c r="J1391" s="36" t="s">
        <v>543</v>
      </c>
      <c r="K1391" s="30">
        <v>40861128.560000002</v>
      </c>
      <c r="L1391" s="11"/>
    </row>
    <row r="1392" spans="1:12" ht="24" customHeight="1">
      <c r="A1392" s="214"/>
      <c r="B1392" s="197"/>
      <c r="C1392" s="197"/>
      <c r="D1392" s="228"/>
      <c r="E1392" s="228"/>
      <c r="F1392" s="197"/>
      <c r="G1392" s="26" t="str">
        <f ca="1">IFERROR(__xludf.DUMMYFUNCTION("IF(I1509="""","""",FILTER(DATOS!$D$4:$D$237,DATOS!$B$4:$B$237=I1509))"),"11-368")</f>
        <v>11-368</v>
      </c>
      <c r="H1392" s="26" t="str">
        <f ca="1">IFERROR(__xludf.DUMMYFUNCTION("IF(I1509="""","""",FILTER(DATOS!$C$4:$C$237,DATOS!$B$4:$B$237=I1509))"),"SUBA")</f>
        <v>SUBA</v>
      </c>
      <c r="I1392" s="36" t="s">
        <v>35</v>
      </c>
      <c r="J1392" s="36" t="s">
        <v>543</v>
      </c>
      <c r="K1392" s="30">
        <v>37009608.600000001</v>
      </c>
      <c r="L1392" s="11"/>
    </row>
    <row r="1393" spans="1:12" ht="24" customHeight="1" thickBot="1">
      <c r="A1393" s="186"/>
      <c r="B1393" s="191"/>
      <c r="C1393" s="191"/>
      <c r="D1393" s="229"/>
      <c r="E1393" s="229"/>
      <c r="F1393" s="191"/>
      <c r="G1393" s="91" t="str">
        <f ca="1">IFERROR(__xludf.DUMMYFUNCTION("IF(I1510="""","""",FILTER(DATOS!$D$4:$D$237,DATOS!$B$4:$B$237=I1510))"),"11-204")</f>
        <v>11-204</v>
      </c>
      <c r="H1393" s="91" t="str">
        <f ca="1">IFERROR(__xludf.DUMMYFUNCTION("IF(I1510="""","""",FILTER(DATOS!$C$4:$C$237,DATOS!$B$4:$B$237=I1510))"),"SUBA")</f>
        <v>SUBA</v>
      </c>
      <c r="I1393" s="145" t="s">
        <v>68</v>
      </c>
      <c r="J1393" s="82" t="s">
        <v>543</v>
      </c>
      <c r="K1393" s="30">
        <v>32549617</v>
      </c>
      <c r="L1393" s="11"/>
    </row>
    <row r="1394" spans="1:12" ht="22.5" customHeight="1">
      <c r="A1394" s="213" t="s">
        <v>544</v>
      </c>
      <c r="B1394" s="215" t="s">
        <v>545</v>
      </c>
      <c r="C1394" s="215" t="s">
        <v>546</v>
      </c>
      <c r="D1394" s="250">
        <v>45198</v>
      </c>
      <c r="E1394" s="250">
        <v>45592</v>
      </c>
      <c r="F1394" s="253">
        <v>100</v>
      </c>
      <c r="G1394" s="21" t="str">
        <f ca="1">IFERROR(__xludf.DUMMYFUNCTION("IF(I1511="""","""",FILTER(DATOS!$D$4:$D$237,DATOS!$B$4:$B$237=I1511))"),"06-063")</f>
        <v>06-063</v>
      </c>
      <c r="H1394" s="21" t="str">
        <f ca="1">IFERROR(__xludf.DUMMYFUNCTION("IF(I1511="""","""",FILTER(DATOS!$C$4:$C$237,DATOS!$B$4:$B$237=I1511))"),"TUNJUELITO")</f>
        <v>TUNJUELITO</v>
      </c>
      <c r="I1394" s="77" t="s">
        <v>87</v>
      </c>
      <c r="J1394" s="77" t="s">
        <v>547</v>
      </c>
      <c r="K1394" s="146">
        <v>144805501.36000001</v>
      </c>
      <c r="L1394" s="57">
        <v>1884000000</v>
      </c>
    </row>
    <row r="1395" spans="1:12" ht="22.5" customHeight="1">
      <c r="A1395" s="214"/>
      <c r="B1395" s="197"/>
      <c r="C1395" s="197"/>
      <c r="D1395" s="228"/>
      <c r="E1395" s="228"/>
      <c r="F1395" s="197"/>
      <c r="G1395" s="26" t="str">
        <f ca="1">IFERROR(__xludf.DUMMYFUNCTION("IF(I1512="""","""",FILTER(DATOS!$D$4:$D$237,DATOS!$B$4:$B$237=I1512))"),"12-125")</f>
        <v>12-125</v>
      </c>
      <c r="H1395" s="26" t="str">
        <f ca="1">IFERROR(__xludf.DUMMYFUNCTION("IF(I1512="""","""",FILTER(DATOS!$C$4:$C$237,DATOS!$B$4:$B$237=I1512))"),"BARRIOS UNIDOS")</f>
        <v>BARRIOS UNIDOS</v>
      </c>
      <c r="I1395" s="36" t="s">
        <v>47</v>
      </c>
      <c r="J1395" s="82" t="s">
        <v>547</v>
      </c>
      <c r="K1395" s="30">
        <v>7676147.0800000001</v>
      </c>
      <c r="L1395" s="11"/>
    </row>
    <row r="1396" spans="1:12" ht="22.5" customHeight="1">
      <c r="A1396" s="214"/>
      <c r="B1396" s="197"/>
      <c r="C1396" s="197"/>
      <c r="D1396" s="228"/>
      <c r="E1396" s="228"/>
      <c r="F1396" s="197"/>
      <c r="G1396" s="26" t="str">
        <f ca="1">IFERROR(__xludf.DUMMYFUNCTION("IF(I1513="""","""",FILTER(DATOS!$D$4:$D$237,DATOS!$B$4:$B$237=I1513))"),"19-190")</f>
        <v>19-190</v>
      </c>
      <c r="H1396" s="26" t="str">
        <f ca="1">IFERROR(__xludf.DUMMYFUNCTION("IF(I1513="""","""",FILTER(DATOS!$C$4:$C$237,DATOS!$B$4:$B$237=I1513))"),"CIUDAD BOLIVAR")</f>
        <v>CIUDAD BOLIVAR</v>
      </c>
      <c r="I1396" s="36" t="s">
        <v>127</v>
      </c>
      <c r="J1396" s="82" t="s">
        <v>547</v>
      </c>
      <c r="K1396" s="30">
        <v>4220559</v>
      </c>
      <c r="L1396" s="11"/>
    </row>
    <row r="1397" spans="1:12" ht="22.5" customHeight="1">
      <c r="A1397" s="214"/>
      <c r="B1397" s="197"/>
      <c r="C1397" s="197"/>
      <c r="D1397" s="228"/>
      <c r="E1397" s="228"/>
      <c r="F1397" s="197"/>
      <c r="G1397" s="26" t="str">
        <f ca="1">IFERROR(__xludf.DUMMYFUNCTION("IF(I1514="""","""",FILTER(DATOS!$D$4:$D$237,DATOS!$B$4:$B$237=I1514))"),"13-122")</f>
        <v>13-122</v>
      </c>
      <c r="H1397" s="26" t="str">
        <f ca="1">IFERROR(__xludf.DUMMYFUNCTION("IF(I1514="""","""",FILTER(DATOS!$C$4:$C$237,DATOS!$B$4:$B$237=I1514))"),"TEUSAQUILLO")</f>
        <v>TEUSAQUILLO</v>
      </c>
      <c r="I1397" s="36" t="s">
        <v>32</v>
      </c>
      <c r="J1397" s="82" t="s">
        <v>547</v>
      </c>
      <c r="K1397" s="30">
        <v>124460845.83999999</v>
      </c>
      <c r="L1397" s="11"/>
    </row>
    <row r="1398" spans="1:12" ht="22.5" customHeight="1">
      <c r="A1398" s="214"/>
      <c r="B1398" s="197"/>
      <c r="C1398" s="197"/>
      <c r="D1398" s="228"/>
      <c r="E1398" s="228"/>
      <c r="F1398" s="197"/>
      <c r="G1398" s="26" t="str">
        <f ca="1">IFERROR(__xludf.DUMMYFUNCTION("IF(I1515="""","""",FILTER(DATOS!$D$4:$D$237,DATOS!$B$4:$B$237=I1515))"),"09-111")</f>
        <v>09-111</v>
      </c>
      <c r="H1398" s="26" t="str">
        <f ca="1">IFERROR(__xludf.DUMMYFUNCTION("IF(I1515="""","""",FILTER(DATOS!$C$4:$C$237,DATOS!$B$4:$B$237=I1515))"),"FONTIBON")</f>
        <v>FONTIBON</v>
      </c>
      <c r="I1398" s="36" t="s">
        <v>57</v>
      </c>
      <c r="J1398" s="82" t="s">
        <v>547</v>
      </c>
      <c r="K1398" s="30">
        <v>15257024.200000003</v>
      </c>
      <c r="L1398" s="11"/>
    </row>
    <row r="1399" spans="1:12" ht="22.5" customHeight="1">
      <c r="A1399" s="214"/>
      <c r="B1399" s="197"/>
      <c r="C1399" s="197"/>
      <c r="D1399" s="228"/>
      <c r="E1399" s="228"/>
      <c r="F1399" s="197"/>
      <c r="G1399" s="26" t="str">
        <f ca="1">IFERROR(__xludf.DUMMYFUNCTION("IF(I1516="""","""",FILTER(DATOS!$D$4:$D$237,DATOS!$B$4:$B$237=I1516))"),"05-087")</f>
        <v>05-087</v>
      </c>
      <c r="H1399" s="26" t="str">
        <f ca="1">IFERROR(__xludf.DUMMYFUNCTION("IF(I1516="""","""",FILTER(DATOS!$C$4:$C$237,DATOS!$B$4:$B$237=I1516))"),"USME")</f>
        <v>USME</v>
      </c>
      <c r="I1399" s="36" t="s">
        <v>135</v>
      </c>
      <c r="J1399" s="82" t="s">
        <v>547</v>
      </c>
      <c r="K1399" s="30">
        <v>10843570.08</v>
      </c>
      <c r="L1399" s="11"/>
    </row>
    <row r="1400" spans="1:12" ht="22.5" customHeight="1">
      <c r="A1400" s="214"/>
      <c r="B1400" s="197"/>
      <c r="C1400" s="197"/>
      <c r="D1400" s="228"/>
      <c r="E1400" s="228"/>
      <c r="F1400" s="197"/>
      <c r="G1400" s="26" t="str">
        <f ca="1">IFERROR(__xludf.DUMMYFUNCTION("IF(I1517="""","""",FILTER(DATOS!$D$4:$D$237,DATOS!$B$4:$B$237=I1517))"),"08-219")</f>
        <v>08-219</v>
      </c>
      <c r="H1400" s="26" t="str">
        <f ca="1">IFERROR(__xludf.DUMMYFUNCTION("IF(I1517="""","""",FILTER(DATOS!$C$4:$C$237,DATOS!$B$4:$B$237=I1517))"),"KENNEDY")</f>
        <v>KENNEDY</v>
      </c>
      <c r="I1400" s="36" t="s">
        <v>132</v>
      </c>
      <c r="J1400" s="82" t="s">
        <v>547</v>
      </c>
      <c r="K1400" s="30">
        <v>16035375.640000004</v>
      </c>
      <c r="L1400" s="11"/>
    </row>
    <row r="1401" spans="1:12" ht="22.5" customHeight="1">
      <c r="A1401" s="214"/>
      <c r="B1401" s="197"/>
      <c r="C1401" s="197"/>
      <c r="D1401" s="228"/>
      <c r="E1401" s="228"/>
      <c r="F1401" s="197"/>
      <c r="G1401" s="26" t="str">
        <f ca="1">IFERROR(__xludf.DUMMYFUNCTION("IF(I1518="""","""",FILTER(DATOS!$D$4:$D$237,DATOS!$B$4:$B$237=I1518))"),"14-030")</f>
        <v>14-030</v>
      </c>
      <c r="H1401" s="26" t="str">
        <f ca="1">IFERROR(__xludf.DUMMYFUNCTION("IF(I1518="""","""",FILTER(DATOS!$C$4:$C$237,DATOS!$B$4:$B$237=I1518))"),"MARTIRES")</f>
        <v>MARTIRES</v>
      </c>
      <c r="I1401" s="36" t="s">
        <v>82</v>
      </c>
      <c r="J1401" s="82" t="s">
        <v>547</v>
      </c>
      <c r="K1401" s="30">
        <v>11760344.440000001</v>
      </c>
      <c r="L1401" s="11"/>
    </row>
    <row r="1402" spans="1:12" ht="22.5" customHeight="1">
      <c r="A1402" s="214"/>
      <c r="B1402" s="197"/>
      <c r="C1402" s="197"/>
      <c r="D1402" s="228"/>
      <c r="E1402" s="228"/>
      <c r="F1402" s="197"/>
      <c r="G1402" s="26" t="str">
        <f ca="1">IFERROR(__xludf.DUMMYFUNCTION("IF(I1519="""","""",FILTER(DATOS!$D$4:$D$237,DATOS!$B$4:$B$237=I1519))"),"08-200")</f>
        <v>08-200</v>
      </c>
      <c r="H1402" s="26" t="str">
        <f ca="1">IFERROR(__xludf.DUMMYFUNCTION("IF(I1519="""","""",FILTER(DATOS!$C$4:$C$237,DATOS!$B$4:$B$237=I1519))"),"KENNEDY")</f>
        <v>KENNEDY</v>
      </c>
      <c r="I1402" s="36" t="s">
        <v>77</v>
      </c>
      <c r="J1402" s="82" t="s">
        <v>547</v>
      </c>
      <c r="K1402" s="30">
        <v>12127888.24</v>
      </c>
      <c r="L1402" s="11"/>
    </row>
    <row r="1403" spans="1:12" ht="22.5" customHeight="1">
      <c r="A1403" s="214"/>
      <c r="B1403" s="197"/>
      <c r="C1403" s="197"/>
      <c r="D1403" s="228"/>
      <c r="E1403" s="228"/>
      <c r="F1403" s="197"/>
      <c r="G1403" s="26" t="str">
        <f ca="1">IFERROR(__xludf.DUMMYFUNCTION("IF(I1520="""","""",FILTER(DATOS!$D$4:$D$237,DATOS!$B$4:$B$237=I1520))"),"10-311")</f>
        <v>10-311</v>
      </c>
      <c r="H1403" s="26" t="str">
        <f ca="1">IFERROR(__xludf.DUMMYFUNCTION("IF(I1520="""","""",FILTER(DATOS!$C$4:$C$237,DATOS!$B$4:$B$237=I1520))"),"ENGATIVA")</f>
        <v>ENGATIVA</v>
      </c>
      <c r="I1403" s="36" t="s">
        <v>38</v>
      </c>
      <c r="J1403" s="82" t="s">
        <v>547</v>
      </c>
      <c r="K1403" s="30">
        <v>47744968.479999997</v>
      </c>
      <c r="L1403" s="11"/>
    </row>
    <row r="1404" spans="1:12" ht="22.5" customHeight="1">
      <c r="A1404" s="214"/>
      <c r="B1404" s="197"/>
      <c r="C1404" s="197"/>
      <c r="D1404" s="228"/>
      <c r="E1404" s="228"/>
      <c r="F1404" s="197"/>
      <c r="G1404" s="26" t="str">
        <f ca="1">IFERROR(__xludf.DUMMYFUNCTION("IF(I1521="""","""",FILTER(DATOS!$D$4:$D$237,DATOS!$B$4:$B$237=I1521))"),"12-015")</f>
        <v>12-015</v>
      </c>
      <c r="H1404" s="26" t="str">
        <f ca="1">IFERROR(__xludf.DUMMYFUNCTION("IF(I1521="""","""",FILTER(DATOS!$C$4:$C$237,DATOS!$B$4:$B$237=I1521))"),"BARRIOS UNIDOS")</f>
        <v>BARRIOS UNIDOS</v>
      </c>
      <c r="I1404" s="36" t="s">
        <v>19</v>
      </c>
      <c r="J1404" s="82" t="s">
        <v>548</v>
      </c>
      <c r="K1404" s="30">
        <v>4407988.6399999997</v>
      </c>
      <c r="L1404" s="11"/>
    </row>
    <row r="1405" spans="1:12" ht="22.5" customHeight="1">
      <c r="A1405" s="214"/>
      <c r="B1405" s="197"/>
      <c r="C1405" s="197"/>
      <c r="D1405" s="228"/>
      <c r="E1405" s="228"/>
      <c r="F1405" s="197"/>
      <c r="G1405" s="26" t="str">
        <f ca="1">IFERROR(__xludf.DUMMYFUNCTION("IF(I1522="""","""",FILTER(DATOS!$D$4:$D$237,DATOS!$B$4:$B$237=I1522))"),"18-162")</f>
        <v>18-162</v>
      </c>
      <c r="H1405" s="26" t="str">
        <f ca="1">IFERROR(__xludf.DUMMYFUNCTION("IF(I1522="""","""",FILTER(DATOS!$C$4:$C$237,DATOS!$B$4:$B$237=I1522))"),"RAFAEL URIBE")</f>
        <v>RAFAEL URIBE</v>
      </c>
      <c r="I1405" s="36" t="s">
        <v>113</v>
      </c>
      <c r="J1405" s="82" t="s">
        <v>547</v>
      </c>
      <c r="K1405" s="30">
        <v>5639330.5999999996</v>
      </c>
      <c r="L1405" s="11"/>
    </row>
    <row r="1406" spans="1:12" ht="22.5" customHeight="1">
      <c r="A1406" s="214"/>
      <c r="B1406" s="197"/>
      <c r="C1406" s="197"/>
      <c r="D1406" s="228"/>
      <c r="E1406" s="228"/>
      <c r="F1406" s="197"/>
      <c r="G1406" s="26" t="str">
        <f ca="1">IFERROR(__xludf.DUMMYFUNCTION("IF(I1523="""","""",FILTER(DATOS!$D$4:$D$237,DATOS!$B$4:$B$237=I1523))"),"03-035")</f>
        <v>03-035</v>
      </c>
      <c r="H1406" s="26" t="str">
        <f ca="1">IFERROR(__xludf.DUMMYFUNCTION("IF(I1523="""","""",FILTER(DATOS!$C$4:$C$237,DATOS!$B$4:$B$237=I1523))"),"SANTAFE")</f>
        <v>SANTAFE</v>
      </c>
      <c r="I1406" s="36" t="s">
        <v>46</v>
      </c>
      <c r="J1406" s="82" t="s">
        <v>547</v>
      </c>
      <c r="K1406" s="30">
        <v>30080857.480000004</v>
      </c>
      <c r="L1406" s="11"/>
    </row>
    <row r="1407" spans="1:12" ht="22.5" customHeight="1">
      <c r="A1407" s="214"/>
      <c r="B1407" s="197"/>
      <c r="C1407" s="197"/>
      <c r="D1407" s="228"/>
      <c r="E1407" s="228"/>
      <c r="F1407" s="197"/>
      <c r="G1407" s="26" t="str">
        <f ca="1">IFERROR(__xludf.DUMMYFUNCTION("IF(I1524="""","""",FILTER(DATOS!$D$4:$D$237,DATOS!$B$4:$B$237=I1524))"),"08-552")</f>
        <v>08-552</v>
      </c>
      <c r="H1407" s="26" t="str">
        <f ca="1">IFERROR(__xludf.DUMMYFUNCTION("IF(I1524="""","""",FILTER(DATOS!$C$4:$C$237,DATOS!$B$4:$B$237=I1524))"),"KENNEDY")</f>
        <v>KENNEDY</v>
      </c>
      <c r="I1407" s="36" t="s">
        <v>97</v>
      </c>
      <c r="J1407" s="82" t="s">
        <v>547</v>
      </c>
      <c r="K1407" s="30">
        <v>9412294.5600000005</v>
      </c>
      <c r="L1407" s="11"/>
    </row>
    <row r="1408" spans="1:12" ht="25.5" customHeight="1">
      <c r="A1408" s="214"/>
      <c r="B1408" s="197"/>
      <c r="C1408" s="197"/>
      <c r="D1408" s="228"/>
      <c r="E1408" s="228"/>
      <c r="F1408" s="197"/>
      <c r="G1408" s="26" t="str">
        <f ca="1">IFERROR(__xludf.DUMMYFUNCTION("IF(I1525="""","""",FILTER(DATOS!$D$4:$D$237,DATOS!$B$4:$B$237=I1525))"),"13-089")</f>
        <v>13-089</v>
      </c>
      <c r="H1408" s="26" t="str">
        <f ca="1">IFERROR(__xludf.DUMMYFUNCTION("IF(I1525="""","""",FILTER(DATOS!$C$4:$C$237,DATOS!$B$4:$B$237=I1525))"),"TEUSAQUILLO")</f>
        <v>TEUSAQUILLO</v>
      </c>
      <c r="I1408" s="40" t="s">
        <v>59</v>
      </c>
      <c r="J1408" s="82" t="s">
        <v>547</v>
      </c>
      <c r="K1408" s="30">
        <v>34629656.280000001</v>
      </c>
      <c r="L1408" s="11"/>
    </row>
    <row r="1409" spans="1:12" ht="25.5" customHeight="1">
      <c r="A1409" s="214"/>
      <c r="B1409" s="197"/>
      <c r="C1409" s="197"/>
      <c r="D1409" s="228"/>
      <c r="E1409" s="228"/>
      <c r="F1409" s="197"/>
      <c r="G1409" s="26" t="str">
        <f ca="1">IFERROR(__xludf.DUMMYFUNCTION("IF(I1526="""","""",FILTER(DATOS!$D$4:$D$237,DATOS!$B$4:$B$237=I1526))"),"12-092")</f>
        <v>12-092</v>
      </c>
      <c r="H1409" s="26" t="str">
        <f ca="1">IFERROR(__xludf.DUMMYFUNCTION("IF(I1526="""","""",FILTER(DATOS!$C$4:$C$237,DATOS!$B$4:$B$237=I1526))"),"BARRIOS UNIDOS")</f>
        <v>BARRIOS UNIDOS</v>
      </c>
      <c r="I1409" s="36" t="s">
        <v>31</v>
      </c>
      <c r="J1409" s="82" t="s">
        <v>547</v>
      </c>
      <c r="K1409" s="30">
        <v>42957761.359999985</v>
      </c>
      <c r="L1409" s="11"/>
    </row>
    <row r="1410" spans="1:12" ht="25.5" customHeight="1">
      <c r="A1410" s="214"/>
      <c r="B1410" s="197"/>
      <c r="C1410" s="197"/>
      <c r="D1410" s="228"/>
      <c r="E1410" s="228"/>
      <c r="F1410" s="197"/>
      <c r="G1410" s="26" t="str">
        <f ca="1">IFERROR(__xludf.DUMMYFUNCTION("IF(I1527="""","""",FILTER(DATOS!$D$4:$D$237,DATOS!$B$4:$B$237=I1527))"),"06-063")</f>
        <v>06-063</v>
      </c>
      <c r="H1410" s="26" t="str">
        <f ca="1">IFERROR(__xludf.DUMMYFUNCTION("IF(I1527="""","""",FILTER(DATOS!$C$4:$C$237,DATOS!$B$4:$B$237=I1527))"),"TUNJUELITO")</f>
        <v>TUNJUELITO</v>
      </c>
      <c r="I1410" s="36" t="s">
        <v>88</v>
      </c>
      <c r="J1410" s="82" t="s">
        <v>547</v>
      </c>
      <c r="K1410" s="30">
        <v>15159473.879999999</v>
      </c>
      <c r="L1410" s="11"/>
    </row>
    <row r="1411" spans="1:12" ht="25.5" customHeight="1">
      <c r="A1411" s="214"/>
      <c r="B1411" s="197"/>
      <c r="C1411" s="197"/>
      <c r="D1411" s="228"/>
      <c r="E1411" s="228"/>
      <c r="F1411" s="197"/>
      <c r="G1411" s="26" t="str">
        <f ca="1">IFERROR(__xludf.DUMMYFUNCTION("IF(I1528="""","""",FILTER(DATOS!$D$4:$D$237,DATOS!$B$4:$B$237=I1528))"),"18-205")</f>
        <v>18-205</v>
      </c>
      <c r="H1411" s="26" t="str">
        <f ca="1">IFERROR(__xludf.DUMMYFUNCTION("IF(I1528="""","""",FILTER(DATOS!$C$4:$C$237,DATOS!$B$4:$B$237=I1528))"),"RAFAEL URIBE")</f>
        <v>RAFAEL URIBE</v>
      </c>
      <c r="I1411" s="36" t="s">
        <v>121</v>
      </c>
      <c r="J1411" s="82" t="s">
        <v>547</v>
      </c>
      <c r="K1411" s="30">
        <v>10875113.92</v>
      </c>
      <c r="L1411" s="11"/>
    </row>
    <row r="1412" spans="1:12" ht="25.5" customHeight="1">
      <c r="A1412" s="214"/>
      <c r="B1412" s="197"/>
      <c r="C1412" s="197"/>
      <c r="D1412" s="228"/>
      <c r="E1412" s="228"/>
      <c r="F1412" s="197"/>
      <c r="G1412" s="26" t="str">
        <f ca="1">IFERROR(__xludf.DUMMYFUNCTION("IF(I1530="""","""",FILTER(DATOS!$D$4:$D$237,DATOS!$B$4:$B$237=I1530))"),"04-127")</f>
        <v>04-127</v>
      </c>
      <c r="H1412" s="26" t="str">
        <f ca="1">IFERROR(__xludf.DUMMYFUNCTION("IF(I1530="""","""",FILTER(DATOS!$C$4:$C$237,DATOS!$B$4:$B$237=I1530))"),"SAN CRISTOBAL")</f>
        <v>SAN CRISTOBAL</v>
      </c>
      <c r="I1412" s="36" t="s">
        <v>124</v>
      </c>
      <c r="J1412" s="36" t="s">
        <v>547</v>
      </c>
      <c r="K1412" s="30">
        <v>31428156.480000004</v>
      </c>
      <c r="L1412" s="11"/>
    </row>
    <row r="1413" spans="1:12" ht="25.5" customHeight="1">
      <c r="A1413" s="214"/>
      <c r="B1413" s="197"/>
      <c r="C1413" s="197"/>
      <c r="D1413" s="228"/>
      <c r="E1413" s="228"/>
      <c r="F1413" s="197"/>
      <c r="G1413" s="26" t="str">
        <f ca="1">IFERROR(__xludf.DUMMYFUNCTION("IF(I1531="""","""",FILTER(DATOS!$D$4:$D$237,DATOS!$B$4:$B$237=I1531))"),"05-004")</f>
        <v>05-004</v>
      </c>
      <c r="H1413" s="26" t="str">
        <f ca="1">IFERROR(__xludf.DUMMYFUNCTION("IF(I1531="""","""",FILTER(DATOS!$C$4:$C$237,DATOS!$B$4:$B$237=I1531))"),"USME")</f>
        <v>USME</v>
      </c>
      <c r="I1413" s="36" t="s">
        <v>101</v>
      </c>
      <c r="J1413" s="36" t="s">
        <v>547</v>
      </c>
      <c r="K1413" s="30">
        <v>24804835.240000002</v>
      </c>
      <c r="L1413" s="57"/>
    </row>
    <row r="1414" spans="1:12" ht="25.5" customHeight="1">
      <c r="A1414" s="214"/>
      <c r="B1414" s="197"/>
      <c r="C1414" s="197"/>
      <c r="D1414" s="228"/>
      <c r="E1414" s="228"/>
      <c r="F1414" s="197"/>
      <c r="G1414" s="26" t="str">
        <f ca="1">IFERROR(__xludf.DUMMYFUNCTION("IF(I1532="""","""",FILTER(DATOS!$D$4:$D$237,DATOS!$B$4:$B$237=I1532))"),"18-207")</f>
        <v>18-207</v>
      </c>
      <c r="H1414" s="26" t="str">
        <f ca="1">IFERROR(__xludf.DUMMYFUNCTION("IF(I1532="""","""",FILTER(DATOS!$C$4:$C$237,DATOS!$B$4:$B$237=I1532))"),"RAFAEL URIBE")</f>
        <v>RAFAEL URIBE</v>
      </c>
      <c r="I1414" s="36" t="s">
        <v>93</v>
      </c>
      <c r="J1414" s="36" t="s">
        <v>547</v>
      </c>
      <c r="K1414" s="30">
        <v>21754476.159999996</v>
      </c>
      <c r="L1414" s="57"/>
    </row>
    <row r="1415" spans="1:12" ht="25.5" customHeight="1">
      <c r="A1415" s="214"/>
      <c r="B1415" s="197"/>
      <c r="C1415" s="197"/>
      <c r="D1415" s="228"/>
      <c r="E1415" s="228"/>
      <c r="F1415" s="197"/>
      <c r="G1415" s="26" t="str">
        <f ca="1">IFERROR(__xludf.DUMMYFUNCTION("IF(I1533="""","""",FILTER(DATOS!$D$4:$D$237,DATOS!$B$4:$B$237=I1533))"),"07-260")</f>
        <v>07-260</v>
      </c>
      <c r="H1415" s="26" t="str">
        <f ca="1">IFERROR(__xludf.DUMMYFUNCTION("IF(I1533="""","""",FILTER(DATOS!$C$4:$C$237,DATOS!$B$4:$B$237=I1533))"),"BOSA")</f>
        <v>BOSA</v>
      </c>
      <c r="I1415" s="36" t="s">
        <v>84</v>
      </c>
      <c r="J1415" s="36" t="s">
        <v>547</v>
      </c>
      <c r="K1415" s="30">
        <v>12669692</v>
      </c>
      <c r="L1415" s="57"/>
    </row>
    <row r="1416" spans="1:12" ht="25.5" customHeight="1">
      <c r="A1416" s="214"/>
      <c r="B1416" s="197"/>
      <c r="C1416" s="197"/>
      <c r="D1416" s="228"/>
      <c r="E1416" s="228"/>
      <c r="F1416" s="197"/>
      <c r="G1416" s="26" t="str">
        <f ca="1">IFERROR(__xludf.DUMMYFUNCTION("IF(I1534="""","""",FILTER(DATOS!$D$4:$D$237,DATOS!$B$4:$B$237=I1534))"),"11-368")</f>
        <v>11-368</v>
      </c>
      <c r="H1416" s="26" t="str">
        <f ca="1">IFERROR(__xludf.DUMMYFUNCTION("IF(I1534="""","""",FILTER(DATOS!$C$4:$C$237,DATOS!$B$4:$B$237=I1534))"),"SUBA")</f>
        <v>SUBA</v>
      </c>
      <c r="I1416" s="36" t="s">
        <v>34</v>
      </c>
      <c r="J1416" s="36" t="s">
        <v>547</v>
      </c>
      <c r="K1416" s="30">
        <v>50929146.519999996</v>
      </c>
      <c r="L1416" s="57"/>
    </row>
    <row r="1417" spans="1:12" ht="25.5" customHeight="1">
      <c r="A1417" s="214"/>
      <c r="B1417" s="197"/>
      <c r="C1417" s="197"/>
      <c r="D1417" s="228"/>
      <c r="E1417" s="228"/>
      <c r="F1417" s="197"/>
      <c r="G1417" s="26" t="str">
        <f ca="1">IFERROR(__xludf.DUMMYFUNCTION("IF(I1535="""","""",FILTER(DATOS!$D$4:$D$237,DATOS!$B$4:$B$237=I1535))"),"04-196")</f>
        <v>04-196</v>
      </c>
      <c r="H1417" s="26" t="str">
        <f ca="1">IFERROR(__xludf.DUMMYFUNCTION("IF(I1535="""","""",FILTER(DATOS!$C$4:$C$237,DATOS!$B$4:$B$237=I1535))"),"SAN CRISTOBAL")</f>
        <v>SAN CRISTOBAL</v>
      </c>
      <c r="I1417" s="36" t="s">
        <v>134</v>
      </c>
      <c r="J1417" s="36" t="s">
        <v>547</v>
      </c>
      <c r="K1417" s="30">
        <v>1975220.5999999996</v>
      </c>
      <c r="L1417" s="57"/>
    </row>
    <row r="1418" spans="1:12" ht="25.5" customHeight="1">
      <c r="A1418" s="214"/>
      <c r="B1418" s="197"/>
      <c r="C1418" s="197"/>
      <c r="D1418" s="228"/>
      <c r="E1418" s="228"/>
      <c r="F1418" s="197"/>
      <c r="G1418" s="26" t="str">
        <f ca="1">IFERROR(__xludf.DUMMYFUNCTION("IF(I1536="""","""",FILTER(DATOS!$D$4:$D$237,DATOS!$B$4:$B$237=I1536))"),"19-346")</f>
        <v>19-346</v>
      </c>
      <c r="H1418" s="26" t="str">
        <f ca="1">IFERROR(__xludf.DUMMYFUNCTION("IF(I1536="""","""",FILTER(DATOS!$C$4:$C$237,DATOS!$B$4:$B$237=I1536))"),"CIUDAD BOLIVAR")</f>
        <v>CIUDAD BOLIVAR</v>
      </c>
      <c r="I1418" s="36" t="s">
        <v>99</v>
      </c>
      <c r="J1418" s="36" t="s">
        <v>547</v>
      </c>
      <c r="K1418" s="30">
        <v>22499339</v>
      </c>
      <c r="L1418" s="57"/>
    </row>
    <row r="1419" spans="1:12" ht="25.5" customHeight="1">
      <c r="A1419" s="214"/>
      <c r="B1419" s="197"/>
      <c r="C1419" s="197"/>
      <c r="D1419" s="228"/>
      <c r="E1419" s="228"/>
      <c r="F1419" s="197"/>
      <c r="G1419" s="26" t="str">
        <f ca="1">IFERROR(__xludf.DUMMYFUNCTION("IF(I1537="""","""",FILTER(DATOS!$D$4:$D$237,DATOS!$B$4:$B$237=I1537))"),"08-034")</f>
        <v>08-034</v>
      </c>
      <c r="H1419" s="26" t="str">
        <f ca="1">IFERROR(__xludf.DUMMYFUNCTION("IF(I1537="""","""",FILTER(DATOS!$C$4:$C$237,DATOS!$B$4:$B$237=I1537))"),"KENNEDY")</f>
        <v>KENNEDY</v>
      </c>
      <c r="I1419" s="36" t="s">
        <v>118</v>
      </c>
      <c r="J1419" s="82" t="s">
        <v>547</v>
      </c>
      <c r="K1419" s="30">
        <v>5240718.5999999996</v>
      </c>
      <c r="L1419" s="57"/>
    </row>
    <row r="1420" spans="1:12" ht="25.5" customHeight="1">
      <c r="A1420" s="214"/>
      <c r="B1420" s="197"/>
      <c r="C1420" s="197"/>
      <c r="D1420" s="228"/>
      <c r="E1420" s="228"/>
      <c r="F1420" s="197"/>
      <c r="G1420" s="26" t="str">
        <f ca="1">IFERROR(__xludf.DUMMYFUNCTION("IF(I1538="""","""",FILTER(DATOS!$D$4:$D$237,DATOS!$B$4:$B$237=I1538))"),"13-088")</f>
        <v>13-088</v>
      </c>
      <c r="H1420" s="26" t="str">
        <f ca="1">IFERROR(__xludf.DUMMYFUNCTION("IF(I1538="""","""",FILTER(DATOS!$C$4:$C$237,DATOS!$B$4:$B$237=I1538))"),"TEUSAQUILLO")</f>
        <v>TEUSAQUILLO</v>
      </c>
      <c r="I1420" s="36" t="s">
        <v>66</v>
      </c>
      <c r="J1420" s="82" t="s">
        <v>547</v>
      </c>
      <c r="K1420" s="30">
        <v>62749726.299999997</v>
      </c>
      <c r="L1420" s="57"/>
    </row>
    <row r="1421" spans="1:12" ht="25.5" customHeight="1">
      <c r="A1421" s="214"/>
      <c r="B1421" s="197"/>
      <c r="C1421" s="197"/>
      <c r="D1421" s="228"/>
      <c r="E1421" s="228"/>
      <c r="F1421" s="197"/>
      <c r="G1421" s="26" t="str">
        <f ca="1">IFERROR(__xludf.DUMMYFUNCTION("IF(I1540="""","""",FILTER(DATOS!$D$4:$D$237,DATOS!$B$4:$B$237=I1540))"),"19-230")</f>
        <v>19-230</v>
      </c>
      <c r="H1421" s="26" t="str">
        <f ca="1">IFERROR(__xludf.DUMMYFUNCTION("IF(I1540="""","""",FILTER(DATOS!$C$4:$C$237,DATOS!$B$4:$B$237=I1540))"),"CIUDAD BOLIVAR")</f>
        <v>CIUDAD BOLIVAR</v>
      </c>
      <c r="I1421" s="36" t="s">
        <v>111</v>
      </c>
      <c r="J1421" s="82" t="s">
        <v>547</v>
      </c>
      <c r="K1421" s="30">
        <v>10475668.32</v>
      </c>
      <c r="L1421" s="57"/>
    </row>
    <row r="1422" spans="1:12" ht="25.5" customHeight="1">
      <c r="A1422" s="214"/>
      <c r="B1422" s="197"/>
      <c r="C1422" s="197"/>
      <c r="D1422" s="228"/>
      <c r="E1422" s="228"/>
      <c r="F1422" s="197"/>
      <c r="G1422" s="26" t="str">
        <f ca="1">IFERROR(__xludf.DUMMYFUNCTION("IF(I1541="""","""",FILTER(DATOS!$D$4:$D$237,DATOS!$B$4:$B$237=I1541))"),"07-274")</f>
        <v>07-274</v>
      </c>
      <c r="H1422" s="26" t="str">
        <f ca="1">IFERROR(__xludf.DUMMYFUNCTION("IF(I1541="""","""",FILTER(DATOS!$C$4:$C$237,DATOS!$B$4:$B$237=I1541))"),"BOSA")</f>
        <v>BOSA</v>
      </c>
      <c r="I1422" s="36" t="s">
        <v>130</v>
      </c>
      <c r="J1422" s="82" t="s">
        <v>547</v>
      </c>
      <c r="K1422" s="30">
        <v>8398299.120000001</v>
      </c>
      <c r="L1422" s="57"/>
    </row>
    <row r="1423" spans="1:12" ht="25.5" customHeight="1">
      <c r="A1423" s="214"/>
      <c r="B1423" s="197"/>
      <c r="C1423" s="197"/>
      <c r="D1423" s="228"/>
      <c r="E1423" s="228"/>
      <c r="F1423" s="197"/>
      <c r="G1423" s="26" t="str">
        <f ca="1">IFERROR(__xludf.DUMMYFUNCTION("IF(I1542="""","""",FILTER(DATOS!$D$4:$D$237,DATOS!$B$4:$B$237=I1542))"),"10-234")</f>
        <v>10-234</v>
      </c>
      <c r="H1423" s="26" t="str">
        <f ca="1">IFERROR(__xludf.DUMMYFUNCTION("IF(I1542="""","""",FILTER(DATOS!$C$4:$C$237,DATOS!$B$4:$B$237=I1542))"),"ENGATIVA")</f>
        <v>ENGATIVA</v>
      </c>
      <c r="I1423" s="36" t="s">
        <v>56</v>
      </c>
      <c r="J1423" s="82" t="s">
        <v>547</v>
      </c>
      <c r="K1423" s="30">
        <v>29143061.960000001</v>
      </c>
      <c r="L1423" s="57"/>
    </row>
    <row r="1424" spans="1:12" ht="25.5" customHeight="1">
      <c r="A1424" s="214"/>
      <c r="B1424" s="197"/>
      <c r="C1424" s="197"/>
      <c r="D1424" s="228"/>
      <c r="E1424" s="228"/>
      <c r="F1424" s="197"/>
      <c r="G1424" s="26" t="str">
        <f ca="1">IFERROR(__xludf.DUMMYFUNCTION("IF(I1543="""","""",FILTER(DATOS!$D$4:$D$237,DATOS!$B$4:$B$237=I1543))"),"18-028")</f>
        <v>18-028</v>
      </c>
      <c r="H1424" s="26" t="str">
        <f ca="1">IFERROR(__xludf.DUMMYFUNCTION("IF(I1543="""","""",FILTER(DATOS!$C$4:$C$237,DATOS!$B$4:$B$237=I1543))"),"RAFAEL URIBE")</f>
        <v>RAFAEL URIBE</v>
      </c>
      <c r="I1424" s="36" t="s">
        <v>74</v>
      </c>
      <c r="J1424" s="82" t="s">
        <v>547</v>
      </c>
      <c r="K1424" s="30">
        <v>18030728.84</v>
      </c>
      <c r="L1424" s="57"/>
    </row>
    <row r="1425" spans="1:12" ht="25.5" customHeight="1">
      <c r="A1425" s="214"/>
      <c r="B1425" s="197"/>
      <c r="C1425" s="197"/>
      <c r="D1425" s="228"/>
      <c r="E1425" s="228"/>
      <c r="F1425" s="197"/>
      <c r="G1425" s="26" t="str">
        <f ca="1">IFERROR(__xludf.DUMMYFUNCTION("IF(I1544="""","""",FILTER(DATOS!$D$4:$D$237,DATOS!$B$4:$B$237=I1544))"),"06-017")</f>
        <v>06-017</v>
      </c>
      <c r="H1425" s="26" t="str">
        <f ca="1">IFERROR(__xludf.DUMMYFUNCTION("IF(I1544="""","""",FILTER(DATOS!$C$4:$C$237,DATOS!$B$4:$B$237=I1544))"),"TUNJUELITO")</f>
        <v>TUNJUELITO</v>
      </c>
      <c r="I1425" s="36" t="s">
        <v>117</v>
      </c>
      <c r="J1425" s="82" t="s">
        <v>547</v>
      </c>
      <c r="K1425" s="30">
        <v>3167423</v>
      </c>
      <c r="L1425" s="57"/>
    </row>
    <row r="1426" spans="1:12" ht="25.5" customHeight="1">
      <c r="A1426" s="214"/>
      <c r="B1426" s="197"/>
      <c r="C1426" s="197"/>
      <c r="D1426" s="228"/>
      <c r="E1426" s="228"/>
      <c r="F1426" s="197"/>
      <c r="G1426" s="26" t="str">
        <f ca="1">IFERROR(__xludf.DUMMYFUNCTION("IF(I1545="""","""",FILTER(DATOS!$D$4:$D$237,DATOS!$B$4:$B$237=I1545))"),"10-290")</f>
        <v>10-290</v>
      </c>
      <c r="H1426" s="26" t="str">
        <f ca="1">IFERROR(__xludf.DUMMYFUNCTION("IF(I1545="""","""",FILTER(DATOS!$C$4:$C$237,DATOS!$B$4:$B$237=I1545))"),"ENGATIVA")</f>
        <v>ENGATIVA</v>
      </c>
      <c r="I1426" s="36" t="s">
        <v>62</v>
      </c>
      <c r="J1426" s="82" t="s">
        <v>547</v>
      </c>
      <c r="K1426" s="30">
        <v>91456947.960000008</v>
      </c>
      <c r="L1426" s="57"/>
    </row>
    <row r="1427" spans="1:12" ht="25.5" customHeight="1">
      <c r="A1427" s="214"/>
      <c r="B1427" s="197"/>
      <c r="C1427" s="197"/>
      <c r="D1427" s="228"/>
      <c r="E1427" s="228"/>
      <c r="F1427" s="197"/>
      <c r="G1427" s="26" t="str">
        <f ca="1">IFERROR(__xludf.DUMMYFUNCTION("IF(I1546="""","""",FILTER(DATOS!$D$4:$D$237,DATOS!$B$4:$B$237=I1546))"),"09-104")</f>
        <v>09-104</v>
      </c>
      <c r="H1427" s="26" t="str">
        <f ca="1">IFERROR(__xludf.DUMMYFUNCTION("IF(I1546="""","""",FILTER(DATOS!$C$4:$C$237,DATOS!$B$4:$B$237=I1546))"),"FONTIBON")</f>
        <v>FONTIBON</v>
      </c>
      <c r="I1427" s="35" t="s">
        <v>21</v>
      </c>
      <c r="J1427" s="86" t="s">
        <v>547</v>
      </c>
      <c r="K1427" s="30">
        <v>12850500.760000002</v>
      </c>
      <c r="L1427" s="57"/>
    </row>
    <row r="1428" spans="1:12" ht="25.5" customHeight="1">
      <c r="A1428" s="214"/>
      <c r="B1428" s="197"/>
      <c r="C1428" s="197"/>
      <c r="D1428" s="228"/>
      <c r="E1428" s="228"/>
      <c r="F1428" s="197"/>
      <c r="G1428" s="26" t="str">
        <f ca="1">IFERROR(__xludf.DUMMYFUNCTION("IF(I1547="""","""",FILTER(DATOS!$D$4:$D$237,DATOS!$B$4:$B$237=I1547))"),"03-085")</f>
        <v>03-085</v>
      </c>
      <c r="H1428" s="26" t="str">
        <f ca="1">IFERROR(__xludf.DUMMYFUNCTION("IF(I1547="""","""",FILTER(DATOS!$C$4:$C$237,DATOS!$B$4:$B$237=I1547))"),"SANTAFE")</f>
        <v>SANTAFE</v>
      </c>
      <c r="I1428" s="39" t="s">
        <v>129</v>
      </c>
      <c r="J1428" s="86" t="s">
        <v>547</v>
      </c>
      <c r="K1428" s="30">
        <v>4781335.16</v>
      </c>
      <c r="L1428" s="57"/>
    </row>
    <row r="1429" spans="1:12" ht="25.5" customHeight="1">
      <c r="A1429" s="214"/>
      <c r="B1429" s="197"/>
      <c r="C1429" s="197"/>
      <c r="D1429" s="228"/>
      <c r="E1429" s="228"/>
      <c r="F1429" s="197"/>
      <c r="G1429" s="26" t="str">
        <f ca="1">IFERROR(__xludf.DUMMYFUNCTION("IF(I1548="""","""",FILTER(DATOS!$D$4:$D$237,DATOS!$B$4:$B$237=I1548))"),"03-036")</f>
        <v>03-036</v>
      </c>
      <c r="H1429" s="26" t="str">
        <f ca="1">IFERROR(__xludf.DUMMYFUNCTION("IF(I1548="""","""",FILTER(DATOS!$C$4:$C$237,DATOS!$B$4:$B$237=I1548))"),"SANTAFE")</f>
        <v>SANTAFE</v>
      </c>
      <c r="I1429" s="39" t="s">
        <v>109</v>
      </c>
      <c r="J1429" s="86" t="s">
        <v>547</v>
      </c>
      <c r="K1429" s="30">
        <v>23941248</v>
      </c>
      <c r="L1429" s="57"/>
    </row>
    <row r="1430" spans="1:12" ht="25.5" customHeight="1">
      <c r="A1430" s="214"/>
      <c r="B1430" s="197"/>
      <c r="C1430" s="197"/>
      <c r="D1430" s="228"/>
      <c r="E1430" s="228"/>
      <c r="F1430" s="197"/>
      <c r="G1430" s="26" t="str">
        <f ca="1">IFERROR(__xludf.DUMMYFUNCTION("IF(I1549="""","""",FILTER(DATOS!$D$4:$D$237,DATOS!$B$4:$B$237=I1549))"),"02-019")</f>
        <v>02-019</v>
      </c>
      <c r="H1430" s="26" t="str">
        <f ca="1">IFERROR(__xludf.DUMMYFUNCTION("IF(I1549="""","""",FILTER(DATOS!$C$4:$C$237,DATOS!$B$4:$B$237=I1549))"),"CHAPINERO")</f>
        <v>CHAPINERO</v>
      </c>
      <c r="I1430" s="39" t="s">
        <v>219</v>
      </c>
      <c r="J1430" s="86" t="s">
        <v>547</v>
      </c>
      <c r="K1430" s="30">
        <v>7689656</v>
      </c>
      <c r="L1430" s="57"/>
    </row>
    <row r="1431" spans="1:12" ht="25.5" customHeight="1">
      <c r="A1431" s="214"/>
      <c r="B1431" s="197"/>
      <c r="C1431" s="197"/>
      <c r="D1431" s="228"/>
      <c r="E1431" s="228"/>
      <c r="F1431" s="197"/>
      <c r="G1431" s="26" t="str">
        <f ca="1">IFERROR(__xludf.DUMMYFUNCTION("IF(I1550="""","""",FILTER(DATOS!$D$4:$D$237,DATOS!$B$4:$B$237=I1550))"),"11-212")</f>
        <v>11-212</v>
      </c>
      <c r="H1431" s="26" t="str">
        <f ca="1">IFERROR(__xludf.DUMMYFUNCTION("IF(I1550="""","""",FILTER(DATOS!$C$4:$C$237,DATOS!$B$4:$B$237=I1550))"),"SUBA")</f>
        <v>SUBA</v>
      </c>
      <c r="I1431" s="39" t="s">
        <v>27</v>
      </c>
      <c r="J1431" s="86" t="s">
        <v>547</v>
      </c>
      <c r="K1431" s="30">
        <v>3950440</v>
      </c>
      <c r="L1431" s="57"/>
    </row>
    <row r="1432" spans="1:12" ht="25.5" customHeight="1">
      <c r="A1432" s="214"/>
      <c r="B1432" s="197"/>
      <c r="C1432" s="197"/>
      <c r="D1432" s="228"/>
      <c r="E1432" s="228"/>
      <c r="F1432" s="197"/>
      <c r="G1432" s="26" t="str">
        <f ca="1">IFERROR(__xludf.DUMMYFUNCTION("IF(I1551="""","""",FILTER(DATOS!$D$4:$D$237,DATOS!$B$4:$B$237=I1551))"),"08-355")</f>
        <v>08-355</v>
      </c>
      <c r="H1432" s="26" t="str">
        <f ca="1">IFERROR(__xludf.DUMMYFUNCTION("IF(I1551="""","""",FILTER(DATOS!$C$4:$C$237,DATOS!$B$4:$B$237=I1551))"),"KENNEDY")</f>
        <v>KENNEDY</v>
      </c>
      <c r="I1432" s="39" t="s">
        <v>100</v>
      </c>
      <c r="J1432" s="86" t="s">
        <v>547</v>
      </c>
      <c r="K1432" s="30">
        <v>1975220</v>
      </c>
      <c r="L1432" s="57"/>
    </row>
    <row r="1433" spans="1:12" ht="25.5" customHeight="1">
      <c r="A1433" s="214"/>
      <c r="B1433" s="197"/>
      <c r="C1433" s="197"/>
      <c r="D1433" s="228"/>
      <c r="E1433" s="228"/>
      <c r="F1433" s="197"/>
      <c r="G1433" s="26" t="str">
        <f ca="1">IFERROR(__xludf.DUMMYFUNCTION("IF(I1552="""","""",FILTER(DATOS!$D$4:$D$237,DATOS!$B$4:$B$237=I1552))"),"08-554")</f>
        <v>08-554</v>
      </c>
      <c r="H1433" s="26" t="str">
        <f ca="1">IFERROR(__xludf.DUMMYFUNCTION("IF(I1552="""","""",FILTER(DATOS!$C$4:$C$237,DATOS!$B$4:$B$237=I1552))"),"KENNEDY")</f>
        <v>KENNEDY</v>
      </c>
      <c r="I1433" s="39" t="s">
        <v>90</v>
      </c>
      <c r="J1433" s="86" t="s">
        <v>547</v>
      </c>
      <c r="K1433" s="30">
        <v>27910056.88000001</v>
      </c>
      <c r="L1433" s="57"/>
    </row>
    <row r="1434" spans="1:12" ht="25.5" customHeight="1">
      <c r="A1434" s="214"/>
      <c r="B1434" s="197"/>
      <c r="C1434" s="197"/>
      <c r="D1434" s="228"/>
      <c r="E1434" s="228"/>
      <c r="F1434" s="197"/>
      <c r="G1434" s="26" t="str">
        <f ca="1">IFERROR(__xludf.DUMMYFUNCTION("IF(I1553="""","""",FILTER(DATOS!$D$4:$D$237,DATOS!$B$4:$B$237=I1553))"),"19-348")</f>
        <v>19-348</v>
      </c>
      <c r="H1434" s="26" t="str">
        <f ca="1">IFERROR(__xludf.DUMMYFUNCTION("IF(I1553="""","""",FILTER(DATOS!$C$4:$C$237,DATOS!$B$4:$B$237=I1553))"),"CIUDAD BOLIVAR")</f>
        <v>CIUDAD BOLIVAR</v>
      </c>
      <c r="I1434" s="39" t="s">
        <v>128</v>
      </c>
      <c r="J1434" s="86" t="s">
        <v>547</v>
      </c>
      <c r="K1434" s="30">
        <v>8538904.7200000007</v>
      </c>
      <c r="L1434" s="57"/>
    </row>
    <row r="1435" spans="1:12" ht="25.5" customHeight="1">
      <c r="A1435" s="214"/>
      <c r="B1435" s="197"/>
      <c r="C1435" s="197"/>
      <c r="D1435" s="228"/>
      <c r="E1435" s="228"/>
      <c r="F1435" s="197"/>
      <c r="G1435" s="26" t="str">
        <f ca="1">IFERROR(__xludf.DUMMYFUNCTION("IF(I1555="""","""",FILTER(DATOS!$D$4:$D$237,DATOS!$B$4:$B$237=I1555))"),"15-040")</f>
        <v>15-040</v>
      </c>
      <c r="H1435" s="26" t="str">
        <f ca="1">IFERROR(__xludf.DUMMYFUNCTION("IF(I1555="""","""",FILTER(DATOS!$C$4:$C$237,DATOS!$B$4:$B$237=I1555))"),"ANTONIO NARIÑO")</f>
        <v>ANTONIO NARIÑO</v>
      </c>
      <c r="I1435" s="39" t="s">
        <v>105</v>
      </c>
      <c r="J1435" s="86" t="s">
        <v>547</v>
      </c>
      <c r="K1435" s="30">
        <v>11114155.4</v>
      </c>
      <c r="L1435" s="57"/>
    </row>
    <row r="1436" spans="1:12" ht="25.5" customHeight="1">
      <c r="A1436" s="214"/>
      <c r="B1436" s="197"/>
      <c r="C1436" s="197"/>
      <c r="D1436" s="228"/>
      <c r="E1436" s="228"/>
      <c r="F1436" s="197"/>
      <c r="G1436" s="26" t="str">
        <f ca="1">IFERROR(__xludf.DUMMYFUNCTION("IF(I1556="""","""",FILTER(DATOS!$D$4:$D$237,DATOS!$B$4:$B$237=I1556))"),"05-003")</f>
        <v>05-003</v>
      </c>
      <c r="H1436" s="26" t="str">
        <f ca="1">IFERROR(__xludf.DUMMYFUNCTION("IF(I1556="""","""",FILTER(DATOS!$C$4:$C$237,DATOS!$B$4:$B$237=I1556))"),"USME")</f>
        <v>USME</v>
      </c>
      <c r="I1436" s="39" t="s">
        <v>133</v>
      </c>
      <c r="J1436" s="86" t="s">
        <v>547</v>
      </c>
      <c r="K1436" s="30">
        <v>2823560</v>
      </c>
      <c r="L1436" s="57"/>
    </row>
    <row r="1437" spans="1:12" ht="25.5" customHeight="1">
      <c r="A1437" s="214"/>
      <c r="B1437" s="197"/>
      <c r="C1437" s="197"/>
      <c r="D1437" s="228"/>
      <c r="E1437" s="228"/>
      <c r="F1437" s="197"/>
      <c r="G1437" s="26" t="str">
        <f ca="1">IFERROR(__xludf.DUMMYFUNCTION("IF(I1557="""","""",FILTER(DATOS!$D$4:$D$237,DATOS!$B$4:$B$237=I1557))"),"03-039")</f>
        <v>03-039</v>
      </c>
      <c r="H1437" s="26" t="str">
        <f ca="1">IFERROR(__xludf.DUMMYFUNCTION("IF(I1557="""","""",FILTER(DATOS!$C$4:$C$237,DATOS!$B$4:$B$237=I1557))"),"SANTAFE")</f>
        <v>SANTAFE</v>
      </c>
      <c r="I1437" s="39" t="s">
        <v>40</v>
      </c>
      <c r="J1437" s="86" t="s">
        <v>547</v>
      </c>
      <c r="K1437" s="30">
        <v>501324.26</v>
      </c>
      <c r="L1437" s="57"/>
    </row>
    <row r="1438" spans="1:12" ht="25.5" customHeight="1">
      <c r="A1438" s="214"/>
      <c r="B1438" s="197"/>
      <c r="C1438" s="197"/>
      <c r="D1438" s="228"/>
      <c r="E1438" s="228"/>
      <c r="F1438" s="197"/>
      <c r="G1438" s="26" t="str">
        <f ca="1">IFERROR(__xludf.DUMMYFUNCTION("IF(I1558="""","""",FILTER(DATOS!$D$4:$D$237,DATOS!$B$4:$B$237=I1558))"),"19-349")</f>
        <v>19-349</v>
      </c>
      <c r="H1438" s="26" t="str">
        <f ca="1">IFERROR(__xludf.DUMMYFUNCTION("IF(I1558="""","""",FILTER(DATOS!$C$4:$C$237,DATOS!$B$4:$B$237=I1558))"),"CIUDAD BOLIVAR")</f>
        <v>CIUDAD BOLIVAR</v>
      </c>
      <c r="I1438" s="39" t="s">
        <v>235</v>
      </c>
      <c r="J1438" s="86" t="s">
        <v>547</v>
      </c>
      <c r="K1438" s="30">
        <v>234994.68</v>
      </c>
      <c r="L1438" s="57"/>
    </row>
    <row r="1439" spans="1:12" ht="25.5" customHeight="1">
      <c r="A1439" s="214"/>
      <c r="B1439" s="197"/>
      <c r="C1439" s="197"/>
      <c r="D1439" s="228"/>
      <c r="E1439" s="228"/>
      <c r="F1439" s="197"/>
      <c r="G1439" s="26" t="str">
        <f ca="1">IFERROR(__xludf.DUMMYFUNCTION("IF(I1559="""","""",FILTER(DATOS!$D$4:$D$237,DATOS!$B$4:$B$237=I1559))"),"19-188")</f>
        <v>19-188</v>
      </c>
      <c r="H1439" s="26" t="str">
        <f ca="1">IFERROR(__xludf.DUMMYFUNCTION("IF(I1559="""","""",FILTER(DATOS!$C$4:$C$237,DATOS!$B$4:$B$237=I1559))"),"CIUDAD BOLIVAR")</f>
        <v>CIUDAD BOLIVAR</v>
      </c>
      <c r="I1439" s="39" t="s">
        <v>72</v>
      </c>
      <c r="J1439" s="86" t="s">
        <v>547</v>
      </c>
      <c r="K1439" s="30">
        <v>18206373.359999999</v>
      </c>
      <c r="L1439" s="57"/>
    </row>
    <row r="1440" spans="1:12" ht="25.5" customHeight="1">
      <c r="A1440" s="214"/>
      <c r="B1440" s="197"/>
      <c r="C1440" s="197"/>
      <c r="D1440" s="228"/>
      <c r="E1440" s="228"/>
      <c r="F1440" s="197"/>
      <c r="G1440" s="26" t="str">
        <f ca="1">IFERROR(__xludf.DUMMYFUNCTION("IF(I1560="""","""",FILTER(DATOS!$D$4:$D$237,DATOS!$B$4:$B$237=I1560))"),"10-223")</f>
        <v>10-223</v>
      </c>
      <c r="H1440" s="26" t="str">
        <f ca="1">IFERROR(__xludf.DUMMYFUNCTION("IF(I1560="""","""",FILTER(DATOS!$C$4:$C$237,DATOS!$B$4:$B$237=I1560))"),"ENGATIVA")</f>
        <v>ENGATIVA</v>
      </c>
      <c r="I1440" s="39" t="s">
        <v>41</v>
      </c>
      <c r="J1440" s="86" t="s">
        <v>547</v>
      </c>
      <c r="K1440" s="30">
        <v>1114110.8</v>
      </c>
      <c r="L1440" s="57"/>
    </row>
    <row r="1441" spans="1:12" ht="25.5" customHeight="1">
      <c r="A1441" s="214"/>
      <c r="B1441" s="197"/>
      <c r="C1441" s="197"/>
      <c r="D1441" s="228"/>
      <c r="E1441" s="228"/>
      <c r="F1441" s="197"/>
      <c r="G1441" s="26" t="str">
        <f ca="1">IFERROR(__xludf.DUMMYFUNCTION("IF(I1561="""","""",FILTER(DATOS!$D$4:$D$237,DATOS!$B$4:$B$237=I1561))"),"16-204")</f>
        <v>16-204</v>
      </c>
      <c r="H1441" s="26" t="str">
        <f ca="1">IFERROR(__xludf.DUMMYFUNCTION("IF(I1561="""","""",FILTER(DATOS!$C$4:$C$237,DATOS!$B$4:$B$237=I1561))"),"PUENTE ARANDA")</f>
        <v>PUENTE ARANDA</v>
      </c>
      <c r="I1441" s="39" t="s">
        <v>83</v>
      </c>
      <c r="J1441" s="86" t="s">
        <v>547</v>
      </c>
      <c r="K1441" s="30">
        <v>1364610.24</v>
      </c>
      <c r="L1441" s="57"/>
    </row>
    <row r="1442" spans="1:12" ht="25.5" customHeight="1">
      <c r="A1442" s="214"/>
      <c r="B1442" s="197"/>
      <c r="C1442" s="197"/>
      <c r="D1442" s="228"/>
      <c r="E1442" s="228"/>
      <c r="F1442" s="197"/>
      <c r="G1442" s="153" t="str">
        <f ca="1">IFERROR(__xludf.DUMMYFUNCTION("IF(I1562="""","""",FILTER(DATOS!$D$4:$D$237,DATOS!$B$4:$B$237=I1562))"),"12-110")</f>
        <v>12-110</v>
      </c>
      <c r="H1442" s="154" t="str">
        <f ca="1">IFERROR(__xludf.DUMMYFUNCTION("IF(I1562="""","""",FILTER(DATOS!$C$4:$C$237,DATOS!$B$4:$B$237=I1562))"),"BARRIOS UNIDOS")</f>
        <v>BARRIOS UNIDOS</v>
      </c>
      <c r="I1442" s="155" t="s">
        <v>120</v>
      </c>
      <c r="J1442" s="156" t="s">
        <v>547</v>
      </c>
      <c r="K1442" s="30">
        <v>151242774.28</v>
      </c>
      <c r="L1442" s="57"/>
    </row>
    <row r="1443" spans="1:12" ht="25.5" customHeight="1">
      <c r="A1443" s="214"/>
      <c r="B1443" s="197"/>
      <c r="C1443" s="197"/>
      <c r="D1443" s="228"/>
      <c r="E1443" s="228"/>
      <c r="F1443" s="197"/>
      <c r="G1443" s="153" t="str">
        <f ca="1">IFERROR(__xludf.DUMMYFUNCTION("IF(I1563="""","""",FILTER(DATOS!$D$4:$D$237,DATOS!$B$4:$B$237=I1563))"),"10-171")</f>
        <v>10-171</v>
      </c>
      <c r="H1443" s="154" t="str">
        <f ca="1">IFERROR(__xludf.DUMMYFUNCTION("IF(I1563="""","""",FILTER(DATOS!$C$4:$C$237,DATOS!$B$4:$B$237=I1563))"),"ENGATIVA")</f>
        <v>ENGATIVA</v>
      </c>
      <c r="I1443" s="36" t="s">
        <v>37</v>
      </c>
      <c r="J1443" s="157" t="s">
        <v>547</v>
      </c>
      <c r="K1443" s="30">
        <v>4765312.96</v>
      </c>
      <c r="L1443" s="57"/>
    </row>
    <row r="1444" spans="1:12" ht="25.5" customHeight="1">
      <c r="A1444" s="214"/>
      <c r="B1444" s="197"/>
      <c r="C1444" s="197"/>
      <c r="D1444" s="228"/>
      <c r="E1444" s="228"/>
      <c r="F1444" s="197"/>
      <c r="G1444" s="26" t="str">
        <f ca="1">IFERROR(__xludf.DUMMYFUNCTION("IF(I1565="""","""",FILTER(DATOS!$D$4:$D$237,DATOS!$B$4:$B$237=I1565))"),"05-016")</f>
        <v>05-016</v>
      </c>
      <c r="H1444" s="26" t="str">
        <f ca="1">IFERROR(__xludf.DUMMYFUNCTION("IF(I1565="""","""",FILTER(DATOS!$C$4:$C$237,DATOS!$B$4:$B$237=I1565))"),"USME")</f>
        <v>USME</v>
      </c>
      <c r="I1444" s="36" t="s">
        <v>89</v>
      </c>
      <c r="J1444" s="86" t="s">
        <v>547</v>
      </c>
      <c r="K1444" s="30">
        <v>7679147.0800000001</v>
      </c>
      <c r="L1444" s="57"/>
    </row>
    <row r="1445" spans="1:12" ht="25.5" customHeight="1">
      <c r="A1445" s="214"/>
      <c r="B1445" s="197"/>
      <c r="C1445" s="197"/>
      <c r="D1445" s="228"/>
      <c r="E1445" s="228"/>
      <c r="F1445" s="197"/>
      <c r="G1445" s="26" t="str">
        <f ca="1">IFERROR(__xludf.DUMMYFUNCTION("IF(I1566="""","""",FILTER(DATOS!$D$4:$D$237,DATOS!$B$4:$B$237=I1566))"),"03-014")</f>
        <v>03-014</v>
      </c>
      <c r="H1445" s="26" t="str">
        <f ca="1">IFERROR(__xludf.DUMMYFUNCTION("IF(I1566="""","""",FILTER(DATOS!$C$4:$C$237,DATOS!$B$4:$B$237=I1566))"),"SANTAFE")</f>
        <v>SANTAFE</v>
      </c>
      <c r="I1445" s="36" t="s">
        <v>153</v>
      </c>
      <c r="J1445" s="86" t="s">
        <v>547</v>
      </c>
      <c r="K1445" s="30">
        <v>5411359.04</v>
      </c>
      <c r="L1445" s="57"/>
    </row>
    <row r="1446" spans="1:12" ht="25.5" customHeight="1">
      <c r="A1446" s="214"/>
      <c r="B1446" s="197"/>
      <c r="C1446" s="197"/>
      <c r="D1446" s="228"/>
      <c r="E1446" s="228"/>
      <c r="F1446" s="197"/>
      <c r="G1446" s="26" t="str">
        <f ca="1">IFERROR(__xludf.DUMMYFUNCTION("IF(I1567="""","""",FILTER(DATOS!$D$4:$D$237,DATOS!$B$4:$B$237=I1567))"),"08-241")</f>
        <v>08-241</v>
      </c>
      <c r="H1446" s="26" t="str">
        <f ca="1">IFERROR(__xludf.DUMMYFUNCTION("IF(I1567="""","""",FILTER(DATOS!$C$4:$C$237,DATOS!$B$4:$B$237=I1567))"),"KENNEDY")</f>
        <v>KENNEDY</v>
      </c>
      <c r="I1446" s="36" t="s">
        <v>78</v>
      </c>
      <c r="J1446" s="86" t="s">
        <v>547</v>
      </c>
      <c r="K1446" s="30">
        <v>46944497.960000001</v>
      </c>
      <c r="L1446" s="57"/>
    </row>
    <row r="1447" spans="1:12" ht="25.5" customHeight="1">
      <c r="A1447" s="214"/>
      <c r="B1447" s="197"/>
      <c r="C1447" s="197"/>
      <c r="D1447" s="228"/>
      <c r="E1447" s="228"/>
      <c r="F1447" s="197"/>
      <c r="G1447" s="26" t="str">
        <f ca="1">IFERROR(__xludf.DUMMYFUNCTION("IF(I1568="""","""",FILTER(DATOS!$D$4:$D$237,DATOS!$B$4:$B$237=I1568))"),"10-192")</f>
        <v>10-192</v>
      </c>
      <c r="H1447" s="26" t="str">
        <f ca="1">IFERROR(__xludf.DUMMYFUNCTION("IF(I1568="""","""",FILTER(DATOS!$C$4:$C$237,DATOS!$B$4:$B$237=I1568))"),"ENGATIVA")</f>
        <v>ENGATIVA</v>
      </c>
      <c r="I1447" s="36" t="s">
        <v>33</v>
      </c>
      <c r="J1447" s="86" t="s">
        <v>547</v>
      </c>
      <c r="K1447" s="30">
        <v>3167423</v>
      </c>
      <c r="L1447" s="57"/>
    </row>
    <row r="1448" spans="1:12" ht="25.5" customHeight="1">
      <c r="A1448" s="214"/>
      <c r="B1448" s="197"/>
      <c r="C1448" s="197"/>
      <c r="D1448" s="228"/>
      <c r="E1448" s="228"/>
      <c r="F1448" s="197"/>
      <c r="G1448" s="26" t="str">
        <f ca="1">IFERROR(__xludf.DUMMYFUNCTION("IF(I1569="""","""",FILTER(DATOS!$D$4:$D$237,DATOS!$B$4:$B$237=I1569))"),"19-231")</f>
        <v>19-231</v>
      </c>
      <c r="H1448" s="26" t="str">
        <f ca="1">IFERROR(__xludf.DUMMYFUNCTION("IF(I1569="""","""",FILTER(DATOS!$C$4:$C$237,DATOS!$B$4:$B$237=I1569))"),"CIUDAD BOLIVAR")</f>
        <v>CIUDAD BOLIVAR</v>
      </c>
      <c r="I1448" s="36" t="s">
        <v>104</v>
      </c>
      <c r="J1448" s="86" t="s">
        <v>547</v>
      </c>
      <c r="K1448" s="30">
        <v>2326405.52</v>
      </c>
      <c r="L1448" s="57"/>
    </row>
    <row r="1449" spans="1:12" ht="25.5" customHeight="1">
      <c r="A1449" s="214"/>
      <c r="B1449" s="197"/>
      <c r="C1449" s="197"/>
      <c r="D1449" s="228"/>
      <c r="E1449" s="228"/>
      <c r="F1449" s="197"/>
      <c r="G1449" s="26" t="str">
        <f ca="1">IFERROR(__xludf.DUMMYFUNCTION("IF(I1570="""","""",FILTER(DATOS!$D$4:$D$237,DATOS!$B$4:$B$237=I1570))"),"07-152")</f>
        <v>07-152</v>
      </c>
      <c r="H1449" s="26" t="str">
        <f ca="1">IFERROR(__xludf.DUMMYFUNCTION("IF(I1570="""","""",FILTER(DATOS!$C$4:$C$237,DATOS!$B$4:$B$237=I1570))"),"BOSA")</f>
        <v>BOSA</v>
      </c>
      <c r="I1449" s="36" t="s">
        <v>92</v>
      </c>
      <c r="J1449" s="86" t="s">
        <v>547</v>
      </c>
      <c r="K1449" s="30">
        <v>4220559.2800000012</v>
      </c>
      <c r="L1449" s="57"/>
    </row>
    <row r="1450" spans="1:12" ht="25.5" customHeight="1">
      <c r="A1450" s="214"/>
      <c r="B1450" s="197"/>
      <c r="C1450" s="197"/>
      <c r="D1450" s="228"/>
      <c r="E1450" s="228"/>
      <c r="F1450" s="197"/>
      <c r="G1450" s="26" t="str">
        <f ca="1">IFERROR(__xludf.DUMMYFUNCTION("IF(I1571="""","""",FILTER(DATOS!$D$4:$D$237,DATOS!$B$4:$B$237=I1571))"),"10-018")</f>
        <v>10-018</v>
      </c>
      <c r="H1450" s="26" t="str">
        <f ca="1">IFERROR(__xludf.DUMMYFUNCTION("IF(I1571="""","""",FILTER(DATOS!$C$4:$C$237,DATOS!$B$4:$B$237=I1571))"),"ENGATIVA")</f>
        <v>ENGATIVA</v>
      </c>
      <c r="I1450" s="36" t="s">
        <v>64</v>
      </c>
      <c r="J1450" s="86" t="s">
        <v>547</v>
      </c>
      <c r="K1450" s="30">
        <v>1961053</v>
      </c>
      <c r="L1450" s="57"/>
    </row>
    <row r="1451" spans="1:12" ht="25.5" customHeight="1">
      <c r="A1451" s="214"/>
      <c r="B1451" s="197"/>
      <c r="C1451" s="197"/>
      <c r="D1451" s="228"/>
      <c r="E1451" s="228"/>
      <c r="F1451" s="197"/>
      <c r="G1451" s="26" t="str">
        <f ca="1">IFERROR(__xludf.DUMMYFUNCTION("IF(I1572="""","""",FILTER(DATOS!$D$4:$D$237,DATOS!$B$4:$B$237=I1572))"),"14-036")</f>
        <v>14-036</v>
      </c>
      <c r="H1451" s="26" t="str">
        <f ca="1">IFERROR(__xludf.DUMMYFUNCTION("IF(I1572="""","""",FILTER(DATOS!$C$4:$C$237,DATOS!$B$4:$B$237=I1572))"),"MARTIRES")</f>
        <v>MARTIRES</v>
      </c>
      <c r="I1451" s="36" t="s">
        <v>55</v>
      </c>
      <c r="J1451" s="86" t="s">
        <v>547</v>
      </c>
      <c r="K1451" s="30">
        <v>8250330</v>
      </c>
      <c r="L1451" s="57"/>
    </row>
    <row r="1452" spans="1:12" ht="25.5" customHeight="1">
      <c r="A1452" s="214"/>
      <c r="B1452" s="197"/>
      <c r="C1452" s="197"/>
      <c r="D1452" s="228"/>
      <c r="E1452" s="228"/>
      <c r="F1452" s="197"/>
      <c r="G1452" s="26" t="str">
        <f ca="1">IFERROR(__xludf.DUMMYFUNCTION("IF(I1575="""","""",FILTER(DATOS!$D$4:$D$237,DATOS!$B$4:$B$237=I1575))"),"07-165")</f>
        <v>07-165</v>
      </c>
      <c r="H1452" s="26" t="str">
        <f ca="1">IFERROR(__xludf.DUMMYFUNCTION("IF(I1575="""","""",FILTER(DATOS!$C$4:$C$237,DATOS!$B$4:$B$237=I1575))"),"BOSA")</f>
        <v>BOSA</v>
      </c>
      <c r="I1452" s="36" t="s">
        <v>107</v>
      </c>
      <c r="J1452" s="86" t="s">
        <v>547</v>
      </c>
      <c r="K1452" s="30">
        <v>10000631.84</v>
      </c>
      <c r="L1452" s="57"/>
    </row>
    <row r="1453" spans="1:12" ht="25.5" customHeight="1">
      <c r="A1453" s="214"/>
      <c r="B1453" s="197"/>
      <c r="C1453" s="197"/>
      <c r="D1453" s="228"/>
      <c r="E1453" s="228"/>
      <c r="F1453" s="197"/>
      <c r="G1453" s="26" t="str">
        <f ca="1">IFERROR(__xludf.DUMMYFUNCTION("IF(I1576="""","""",FILTER(DATOS!$D$4:$D$237,DATOS!$B$4:$B$237=I1576))"),"03-093")</f>
        <v>03-093</v>
      </c>
      <c r="H1453" s="26" t="str">
        <f ca="1">IFERROR(__xludf.DUMMYFUNCTION("IF(I1576="""","""",FILTER(DATOS!$C$4:$C$237,DATOS!$B$4:$B$237=I1576))"),"SANTAFE")</f>
        <v>SANTAFE</v>
      </c>
      <c r="I1453" s="36" t="s">
        <v>51</v>
      </c>
      <c r="J1453" s="86" t="s">
        <v>547</v>
      </c>
      <c r="K1453" s="30">
        <v>12740306</v>
      </c>
      <c r="L1453" s="57"/>
    </row>
    <row r="1454" spans="1:12" ht="25.5" customHeight="1" thickBot="1">
      <c r="A1454" s="214"/>
      <c r="B1454" s="197"/>
      <c r="C1454" s="197"/>
      <c r="D1454" s="228"/>
      <c r="E1454" s="228"/>
      <c r="F1454" s="197"/>
      <c r="G1454" s="26" t="str">
        <f ca="1">IFERROR(__xludf.DUMMYFUNCTION("IF(I1784="""","""",FILTER(DATOS!$D$4:$D$237,DATOS!$B$4:$B$237=I1784))"),"07-163")</f>
        <v>07-163</v>
      </c>
      <c r="H1454" s="26" t="str">
        <f ca="1">IFERROR(__xludf.DUMMYFUNCTION("IF(I1784="""","""",FILTER(DATOS!$C$4:$C$237,DATOS!$B$4:$B$237=I1784))"),"BOSA")</f>
        <v>BOSA</v>
      </c>
      <c r="I1454" s="83" t="s">
        <v>80</v>
      </c>
      <c r="J1454" s="86" t="s">
        <v>547</v>
      </c>
      <c r="K1454" s="30">
        <v>3167423</v>
      </c>
      <c r="L1454" s="57"/>
    </row>
    <row r="1455" spans="1:12" ht="15.75" customHeight="1">
      <c r="A1455" s="255" t="s">
        <v>549</v>
      </c>
      <c r="B1455" s="256" t="s">
        <v>550</v>
      </c>
      <c r="C1455" s="256" t="s">
        <v>551</v>
      </c>
      <c r="D1455" s="258">
        <v>45189</v>
      </c>
      <c r="E1455" s="260">
        <v>45310</v>
      </c>
      <c r="F1455" s="259">
        <v>1</v>
      </c>
      <c r="G1455" s="104" t="str">
        <f ca="1">IFERROR(__xludf.DUMMYFUNCTION("IF(I1586="""","""",FILTER(DATOS!$D$4:$D$237,DATOS!$B$4:$B$237=I1586))"),"11-368")</f>
        <v>11-368</v>
      </c>
      <c r="H1455" s="104" t="str">
        <f ca="1">IFERROR(__xludf.DUMMYFUNCTION("IF(I1586="""","""",FILTER(DATOS!$C$4:$C$237,DATOS!$B$4:$B$237=I1586))"),"SUBA")</f>
        <v>SUBA</v>
      </c>
      <c r="I1455" s="158" t="s">
        <v>34</v>
      </c>
      <c r="J1455" s="158" t="s">
        <v>552</v>
      </c>
      <c r="K1455" s="107">
        <v>660000</v>
      </c>
      <c r="L1455" s="57">
        <v>8598000</v>
      </c>
    </row>
    <row r="1456" spans="1:12" ht="15.75" customHeight="1">
      <c r="A1456" s="243"/>
      <c r="B1456" s="197"/>
      <c r="C1456" s="197"/>
      <c r="D1456" s="228"/>
      <c r="E1456" s="228"/>
      <c r="F1456" s="197"/>
      <c r="G1456" s="26" t="str">
        <f ca="1">IFERROR(__xludf.DUMMYFUNCTION("IF(I1589="""","""",FILTER(DATOS!$D$4:$D$237,DATOS!$B$4:$B$237=I1589))"),"12-091")</f>
        <v>12-091</v>
      </c>
      <c r="H1456" s="26" t="str">
        <f ca="1">IFERROR(__xludf.DUMMYFUNCTION("IF(I1589="""","""",FILTER(DATOS!$C$4:$C$237,DATOS!$B$4:$B$237=I1589))"),"BARRIOS UNIDOS")</f>
        <v>BARRIOS UNIDOS</v>
      </c>
      <c r="I1456" s="36" t="s">
        <v>53</v>
      </c>
      <c r="J1456" s="36" t="s">
        <v>552</v>
      </c>
      <c r="K1456" s="108">
        <v>44000</v>
      </c>
      <c r="L1456" s="11"/>
    </row>
    <row r="1457" spans="1:12" ht="15.75" customHeight="1">
      <c r="A1457" s="243"/>
      <c r="B1457" s="197"/>
      <c r="C1457" s="197"/>
      <c r="D1457" s="228"/>
      <c r="E1457" s="228"/>
      <c r="F1457" s="197"/>
      <c r="G1457" s="26" t="str">
        <f ca="1">IFERROR(__xludf.DUMMYFUNCTION("IF(I1628="""","""",FILTER(DATOS!$D$4:$D$237,DATOS!$B$4:$B$237=I1628))"),"14-030")</f>
        <v>14-030</v>
      </c>
      <c r="H1457" s="26" t="str">
        <f ca="1">IFERROR(__xludf.DUMMYFUNCTION("IF(I1628="""","""",FILTER(DATOS!$C$4:$C$237,DATOS!$B$4:$B$237=I1628))"),"MARTIRES")</f>
        <v>MARTIRES</v>
      </c>
      <c r="I1457" s="36" t="s">
        <v>82</v>
      </c>
      <c r="J1457" s="36" t="s">
        <v>552</v>
      </c>
      <c r="K1457" s="108">
        <v>14000</v>
      </c>
      <c r="L1457" s="11"/>
    </row>
    <row r="1458" spans="1:12" ht="15.75" customHeight="1">
      <c r="A1458" s="243"/>
      <c r="B1458" s="197"/>
      <c r="C1458" s="197"/>
      <c r="D1458" s="228"/>
      <c r="E1458" s="228"/>
      <c r="F1458" s="197"/>
      <c r="G1458" s="26" t="str">
        <f ca="1">IFERROR(__xludf.DUMMYFUNCTION("IF(I1629="""","""",FILTER(DATOS!$D$4:$D$237,DATOS!$B$4:$B$237=I1629))"),"16-024")</f>
        <v>16-024</v>
      </c>
      <c r="H1458" s="26" t="str">
        <f ca="1">IFERROR(__xludf.DUMMYFUNCTION("IF(I1629="""","""",FILTER(DATOS!$C$4:$C$237,DATOS!$B$4:$B$237=I1629))"),"PUENTE ARANDA")</f>
        <v>PUENTE ARANDA</v>
      </c>
      <c r="I1458" s="36" t="s">
        <v>91</v>
      </c>
      <c r="J1458" s="36" t="s">
        <v>552</v>
      </c>
      <c r="K1458" s="108">
        <v>14000</v>
      </c>
      <c r="L1458" s="11"/>
    </row>
    <row r="1459" spans="1:12" ht="15.75" customHeight="1">
      <c r="A1459" s="243"/>
      <c r="B1459" s="197"/>
      <c r="C1459" s="197"/>
      <c r="D1459" s="228"/>
      <c r="E1459" s="228"/>
      <c r="F1459" s="197"/>
      <c r="G1459" s="26" t="str">
        <f ca="1">IFERROR(__xludf.DUMMYFUNCTION("IF(I1630="""","""",FILTER(DATOS!$D$4:$D$237,DATOS!$B$4:$B$237=I1630))"),"16-112")</f>
        <v>16-112</v>
      </c>
      <c r="H1459" s="26" t="str">
        <f ca="1">IFERROR(__xludf.DUMMYFUNCTION("IF(I1630="""","""",FILTER(DATOS!$C$4:$C$237,DATOS!$B$4:$B$237=I1630))"),"PUENTE ARANDA")</f>
        <v>PUENTE ARANDA</v>
      </c>
      <c r="I1459" s="36" t="s">
        <v>79</v>
      </c>
      <c r="J1459" s="36" t="s">
        <v>552</v>
      </c>
      <c r="K1459" s="108">
        <v>133000</v>
      </c>
      <c r="L1459" s="11"/>
    </row>
    <row r="1460" spans="1:12" ht="15.75" customHeight="1">
      <c r="A1460" s="243"/>
      <c r="B1460" s="197"/>
      <c r="C1460" s="197"/>
      <c r="D1460" s="228"/>
      <c r="E1460" s="228"/>
      <c r="F1460" s="197"/>
      <c r="G1460" s="26" t="str">
        <f ca="1">IFERROR(__xludf.DUMMYFUNCTION("IF(I1631="""","""",FILTER(DATOS!$D$4:$D$237,DATOS!$B$4:$B$237=I1631))"),"16-204")</f>
        <v>16-204</v>
      </c>
      <c r="H1460" s="26" t="str">
        <f ca="1">IFERROR(__xludf.DUMMYFUNCTION("IF(I1631="""","""",FILTER(DATOS!$C$4:$C$237,DATOS!$B$4:$B$237=I1631))"),"PUENTE ARANDA")</f>
        <v>PUENTE ARANDA</v>
      </c>
      <c r="I1460" s="36" t="s">
        <v>83</v>
      </c>
      <c r="J1460" s="36" t="s">
        <v>552</v>
      </c>
      <c r="K1460" s="108">
        <v>21000</v>
      </c>
      <c r="L1460" s="11"/>
    </row>
    <row r="1461" spans="1:12" ht="15.75" customHeight="1">
      <c r="A1461" s="243"/>
      <c r="B1461" s="197"/>
      <c r="C1461" s="197"/>
      <c r="D1461" s="228"/>
      <c r="E1461" s="228"/>
      <c r="F1461" s="197"/>
      <c r="G1461" s="26" t="str">
        <f ca="1">IFERROR(__xludf.DUMMYFUNCTION("IF(I1633="""","""",FILTER(DATOS!$D$4:$D$237,DATOS!$B$4:$B$237=I1633))"),"06-063")</f>
        <v>06-063</v>
      </c>
      <c r="H1461" s="26" t="str">
        <f ca="1">IFERROR(__xludf.DUMMYFUNCTION("IF(I1633="""","""",FILTER(DATOS!$C$4:$C$237,DATOS!$B$4:$B$237=I1633))"),"TUNJUELITO")</f>
        <v>TUNJUELITO</v>
      </c>
      <c r="I1461" s="36" t="s">
        <v>87</v>
      </c>
      <c r="J1461" s="36" t="s">
        <v>552</v>
      </c>
      <c r="K1461" s="108">
        <v>77000</v>
      </c>
      <c r="L1461" s="11"/>
    </row>
    <row r="1462" spans="1:12" ht="15.75" customHeight="1">
      <c r="A1462" s="243"/>
      <c r="B1462" s="197"/>
      <c r="C1462" s="197"/>
      <c r="D1462" s="228"/>
      <c r="E1462" s="228"/>
      <c r="F1462" s="197"/>
      <c r="G1462" s="26" t="str">
        <f ca="1">IFERROR(__xludf.DUMMYFUNCTION("IF(I1634="""","""",FILTER(DATOS!$D$4:$D$237,DATOS!$B$4:$B$237=I1634))"),"06-063")</f>
        <v>06-063</v>
      </c>
      <c r="H1462" s="26" t="str">
        <f ca="1">IFERROR(__xludf.DUMMYFUNCTION("IF(I1634="""","""",FILTER(DATOS!$C$4:$C$237,DATOS!$B$4:$B$237=I1634))"),"TUNJUELITO")</f>
        <v>TUNJUELITO</v>
      </c>
      <c r="I1462" s="36" t="s">
        <v>88</v>
      </c>
      <c r="J1462" s="36" t="s">
        <v>552</v>
      </c>
      <c r="K1462" s="108">
        <v>749000</v>
      </c>
      <c r="L1462" s="11"/>
    </row>
    <row r="1463" spans="1:12" ht="15.75" customHeight="1">
      <c r="A1463" s="243"/>
      <c r="B1463" s="197"/>
      <c r="C1463" s="197"/>
      <c r="D1463" s="228"/>
      <c r="E1463" s="228"/>
      <c r="F1463" s="197"/>
      <c r="G1463" s="26" t="str">
        <f ca="1">IFERROR(__xludf.DUMMYFUNCTION("IF(I1635="""","""",FILTER(DATOS!$D$4:$D$237,DATOS!$B$4:$B$237=I1635))"),"05-002")</f>
        <v>05-002</v>
      </c>
      <c r="H1463" s="26" t="str">
        <f ca="1">IFERROR(__xludf.DUMMYFUNCTION("IF(I1635="""","""",FILTER(DATOS!$C$4:$C$237,DATOS!$B$4:$B$237=I1635))"),"USME")</f>
        <v>USME</v>
      </c>
      <c r="I1463" s="36" t="s">
        <v>102</v>
      </c>
      <c r="J1463" s="36" t="s">
        <v>552</v>
      </c>
      <c r="K1463" s="108">
        <v>14000</v>
      </c>
      <c r="L1463" s="11"/>
    </row>
    <row r="1464" spans="1:12" ht="15.75" customHeight="1">
      <c r="A1464" s="243"/>
      <c r="B1464" s="197"/>
      <c r="C1464" s="197"/>
      <c r="D1464" s="228"/>
      <c r="E1464" s="228"/>
      <c r="F1464" s="197"/>
      <c r="G1464" s="26" t="str">
        <f ca="1">IFERROR(__xludf.DUMMYFUNCTION("IF(I1636="""","""",FILTER(DATOS!$D$4:$D$237,DATOS!$B$4:$B$237=I1636))"),"05-003")</f>
        <v>05-003</v>
      </c>
      <c r="H1464" s="26" t="str">
        <f ca="1">IFERROR(__xludf.DUMMYFUNCTION("IF(I1636="""","""",FILTER(DATOS!$C$4:$C$237,DATOS!$B$4:$B$237=I1636))"),"USME")</f>
        <v>USME</v>
      </c>
      <c r="I1464" s="36" t="s">
        <v>133</v>
      </c>
      <c r="J1464" s="36" t="s">
        <v>552</v>
      </c>
      <c r="K1464" s="108">
        <v>14000</v>
      </c>
      <c r="L1464" s="11"/>
    </row>
    <row r="1465" spans="1:12" ht="15.75" customHeight="1">
      <c r="A1465" s="243"/>
      <c r="B1465" s="197"/>
      <c r="C1465" s="197"/>
      <c r="D1465" s="228"/>
      <c r="E1465" s="228"/>
      <c r="F1465" s="197"/>
      <c r="G1465" s="26" t="str">
        <f ca="1">IFERROR(__xludf.DUMMYFUNCTION("IF(I1637="""","""",FILTER(DATOS!$D$4:$D$237,DATOS!$B$4:$B$237=I1637))"),"05-004")</f>
        <v>05-004</v>
      </c>
      <c r="H1465" s="26" t="str">
        <f ca="1">IFERROR(__xludf.DUMMYFUNCTION("IF(I1637="""","""",FILTER(DATOS!$C$4:$C$237,DATOS!$B$4:$B$237=I1637))"),"USME")</f>
        <v>USME</v>
      </c>
      <c r="I1465" s="36" t="s">
        <v>101</v>
      </c>
      <c r="J1465" s="36" t="s">
        <v>552</v>
      </c>
      <c r="K1465" s="108">
        <v>14000</v>
      </c>
      <c r="L1465" s="11"/>
    </row>
    <row r="1466" spans="1:12" ht="15.75" customHeight="1">
      <c r="A1466" s="243"/>
      <c r="B1466" s="197"/>
      <c r="C1466" s="197"/>
      <c r="D1466" s="228"/>
      <c r="E1466" s="228"/>
      <c r="F1466" s="197"/>
      <c r="G1466" s="26" t="str">
        <f ca="1">IFERROR(__xludf.DUMMYFUNCTION("IF(I1638="""","""",FILTER(DATOS!$D$4:$D$237,DATOS!$B$4:$B$237=I1638))"),"05-236")</f>
        <v>05-236</v>
      </c>
      <c r="H1466" s="26" t="str">
        <f ca="1">IFERROR(__xludf.DUMMYFUNCTION("IF(I1638="""","""",FILTER(DATOS!$C$4:$C$237,DATOS!$B$4:$B$237=I1638))"),"USME")</f>
        <v>USME</v>
      </c>
      <c r="I1466" s="36" t="s">
        <v>122</v>
      </c>
      <c r="J1466" s="36" t="s">
        <v>552</v>
      </c>
      <c r="K1466" s="108">
        <v>7000</v>
      </c>
      <c r="L1466" s="11"/>
    </row>
    <row r="1467" spans="1:12" ht="15.75" customHeight="1">
      <c r="A1467" s="243"/>
      <c r="B1467" s="197"/>
      <c r="C1467" s="197"/>
      <c r="D1467" s="228"/>
      <c r="E1467" s="228"/>
      <c r="F1467" s="197"/>
      <c r="G1467" s="26" t="str">
        <f ca="1">IFERROR(__xludf.DUMMYFUNCTION("IF(I1639="""","""",FILTER(DATOS!$D$4:$D$237,DATOS!$B$4:$B$237=I1639))"),"05-087")</f>
        <v>05-087</v>
      </c>
      <c r="H1467" s="26" t="str">
        <f ca="1">IFERROR(__xludf.DUMMYFUNCTION("IF(I1639="""","""",FILTER(DATOS!$C$4:$C$237,DATOS!$B$4:$B$237=I1639))"),"USME")</f>
        <v>USME</v>
      </c>
      <c r="I1467" s="36" t="s">
        <v>135</v>
      </c>
      <c r="J1467" s="36" t="s">
        <v>552</v>
      </c>
      <c r="K1467" s="108">
        <v>7000</v>
      </c>
      <c r="L1467" s="11"/>
    </row>
    <row r="1468" spans="1:12" ht="15.75" customHeight="1">
      <c r="A1468" s="243"/>
      <c r="B1468" s="197"/>
      <c r="C1468" s="197"/>
      <c r="D1468" s="228"/>
      <c r="E1468" s="228"/>
      <c r="F1468" s="197"/>
      <c r="G1468" s="26" t="str">
        <f ca="1">IFERROR(__xludf.DUMMYFUNCTION("IF(I1640="""","""",FILTER(DATOS!$D$4:$D$237,DATOS!$B$4:$B$237=I1640))"),"19-188")</f>
        <v>19-188</v>
      </c>
      <c r="H1468" s="26" t="str">
        <f ca="1">IFERROR(__xludf.DUMMYFUNCTION("IF(I1640="""","""",FILTER(DATOS!$C$4:$C$237,DATOS!$B$4:$B$237=I1640))"),"CIUDAD BOLIVAR")</f>
        <v>CIUDAD BOLIVAR</v>
      </c>
      <c r="I1468" s="36" t="s">
        <v>72</v>
      </c>
      <c r="J1468" s="36" t="s">
        <v>552</v>
      </c>
      <c r="K1468" s="108">
        <v>41000</v>
      </c>
      <c r="L1468" s="11"/>
    </row>
    <row r="1469" spans="1:12" ht="15.75" customHeight="1">
      <c r="A1469" s="243"/>
      <c r="B1469" s="197"/>
      <c r="C1469" s="197"/>
      <c r="D1469" s="228"/>
      <c r="E1469" s="228"/>
      <c r="F1469" s="197"/>
      <c r="G1469" s="26" t="str">
        <f ca="1">IFERROR(__xludf.DUMMYFUNCTION("IF(I1641="""","""",FILTER(DATOS!$D$4:$D$237,DATOS!$B$4:$B$237=I1641))"),"19-189")</f>
        <v>19-189</v>
      </c>
      <c r="H1469" s="26" t="str">
        <f ca="1">IFERROR(__xludf.DUMMYFUNCTION("IF(I1641="""","""",FILTER(DATOS!$C$4:$C$237,DATOS!$B$4:$B$237=I1641))"),"CIUDAD BOLIVAR")</f>
        <v>CIUDAD BOLIVAR</v>
      </c>
      <c r="I1469" s="36" t="s">
        <v>76</v>
      </c>
      <c r="J1469" s="36" t="s">
        <v>552</v>
      </c>
      <c r="K1469" s="108">
        <v>31000</v>
      </c>
      <c r="L1469" s="11"/>
    </row>
    <row r="1470" spans="1:12" ht="15.75" customHeight="1">
      <c r="A1470" s="243"/>
      <c r="B1470" s="197"/>
      <c r="C1470" s="197"/>
      <c r="D1470" s="228"/>
      <c r="E1470" s="228"/>
      <c r="F1470" s="197"/>
      <c r="G1470" s="26" t="str">
        <f ca="1">IFERROR(__xludf.DUMMYFUNCTION("IF(I1642="""","""",FILTER(DATOS!$D$4:$D$237,DATOS!$B$4:$B$237=I1642))"),"19-230")</f>
        <v>19-230</v>
      </c>
      <c r="H1470" s="26" t="str">
        <f ca="1">IFERROR(__xludf.DUMMYFUNCTION("IF(I1642="""","""",FILTER(DATOS!$C$4:$C$237,DATOS!$B$4:$B$237=I1642))"),"CIUDAD BOLIVAR")</f>
        <v>CIUDAD BOLIVAR</v>
      </c>
      <c r="I1470" s="36" t="s">
        <v>111</v>
      </c>
      <c r="J1470" s="36" t="s">
        <v>552</v>
      </c>
      <c r="K1470" s="108">
        <v>28000</v>
      </c>
      <c r="L1470" s="11"/>
    </row>
    <row r="1471" spans="1:12" ht="15.75" customHeight="1">
      <c r="A1471" s="243"/>
      <c r="B1471" s="197"/>
      <c r="C1471" s="197"/>
      <c r="D1471" s="228"/>
      <c r="E1471" s="228"/>
      <c r="F1471" s="197"/>
      <c r="G1471" s="26" t="str">
        <f ca="1">IFERROR(__xludf.DUMMYFUNCTION("IF(I1643="""","""",FILTER(DATOS!$D$4:$D$237,DATOS!$B$4:$B$237=I1643))"),"19-231")</f>
        <v>19-231</v>
      </c>
      <c r="H1471" s="26" t="str">
        <f ca="1">IFERROR(__xludf.DUMMYFUNCTION("IF(I1643="""","""",FILTER(DATOS!$C$4:$C$237,DATOS!$B$4:$B$237=I1643))"),"CIUDAD BOLIVAR")</f>
        <v>CIUDAD BOLIVAR</v>
      </c>
      <c r="I1471" s="36" t="s">
        <v>104</v>
      </c>
      <c r="J1471" s="36" t="s">
        <v>552</v>
      </c>
      <c r="K1471" s="108">
        <v>101000</v>
      </c>
      <c r="L1471" s="11"/>
    </row>
    <row r="1472" spans="1:12" ht="15.75" customHeight="1">
      <c r="A1472" s="243"/>
      <c r="B1472" s="197"/>
      <c r="C1472" s="197"/>
      <c r="D1472" s="228"/>
      <c r="E1472" s="228"/>
      <c r="F1472" s="197"/>
      <c r="G1472" s="26" t="str">
        <f ca="1">IFERROR(__xludf.DUMMYFUNCTION("IF(I1644="""","""",FILTER(DATOS!$D$4:$D$237,DATOS!$B$4:$B$237=I1644))"),"19-346")</f>
        <v>19-346</v>
      </c>
      <c r="H1472" s="26" t="str">
        <f ca="1">IFERROR(__xludf.DUMMYFUNCTION("IF(I1644="""","""",FILTER(DATOS!$C$4:$C$237,DATOS!$B$4:$B$237=I1644))"),"CIUDAD BOLIVAR")</f>
        <v>CIUDAD BOLIVAR</v>
      </c>
      <c r="I1472" s="36" t="s">
        <v>99</v>
      </c>
      <c r="J1472" s="36" t="s">
        <v>552</v>
      </c>
      <c r="K1472" s="108">
        <v>14000</v>
      </c>
      <c r="L1472" s="11"/>
    </row>
    <row r="1473" spans="1:12" ht="15.75" customHeight="1">
      <c r="A1473" s="243"/>
      <c r="B1473" s="197"/>
      <c r="C1473" s="197"/>
      <c r="D1473" s="228"/>
      <c r="E1473" s="228"/>
      <c r="F1473" s="197"/>
      <c r="G1473" s="26" t="str">
        <f ca="1">IFERROR(__xludf.DUMMYFUNCTION("IF(I1645="""","""",FILTER(DATOS!$D$4:$D$237,DATOS!$B$4:$B$237=I1645))"),"05-016")</f>
        <v>05-016</v>
      </c>
      <c r="H1473" s="26" t="str">
        <f ca="1">IFERROR(__xludf.DUMMYFUNCTION("IF(I1645="""","""",FILTER(DATOS!$C$4:$C$237,DATOS!$B$4:$B$237=I1645))"),"USME")</f>
        <v>USME</v>
      </c>
      <c r="I1473" s="36" t="s">
        <v>89</v>
      </c>
      <c r="J1473" s="36" t="s">
        <v>552</v>
      </c>
      <c r="K1473" s="108">
        <v>64000</v>
      </c>
      <c r="L1473" s="11"/>
    </row>
    <row r="1474" spans="1:12" ht="15.75" customHeight="1">
      <c r="A1474" s="243"/>
      <c r="B1474" s="197"/>
      <c r="C1474" s="197"/>
      <c r="D1474" s="228"/>
      <c r="E1474" s="228"/>
      <c r="F1474" s="197"/>
      <c r="G1474" s="26" t="str">
        <f ca="1">IFERROR(__xludf.DUMMYFUNCTION("IF(I1646="""","""",FILTER(DATOS!$D$4:$D$237,DATOS!$B$4:$B$237=I1646))"),"19-348")</f>
        <v>19-348</v>
      </c>
      <c r="H1474" s="26" t="str">
        <f ca="1">IFERROR(__xludf.DUMMYFUNCTION("IF(I1646="""","""",FILTER(DATOS!$C$4:$C$237,DATOS!$B$4:$B$237=I1646))"),"CIUDAD BOLIVAR")</f>
        <v>CIUDAD BOLIVAR</v>
      </c>
      <c r="I1474" s="36" t="s">
        <v>128</v>
      </c>
      <c r="J1474" s="36" t="s">
        <v>552</v>
      </c>
      <c r="K1474" s="108">
        <v>7000</v>
      </c>
      <c r="L1474" s="11"/>
    </row>
    <row r="1475" spans="1:12" ht="15.75" customHeight="1">
      <c r="A1475" s="243"/>
      <c r="B1475" s="197"/>
      <c r="C1475" s="197"/>
      <c r="D1475" s="228"/>
      <c r="E1475" s="228"/>
      <c r="F1475" s="197"/>
      <c r="G1475" s="26" t="str">
        <f ca="1">IFERROR(__xludf.DUMMYFUNCTION("IF(I1647="""","""",FILTER(DATOS!$D$4:$D$237,DATOS!$B$4:$B$237=I1647))"),"18-028")</f>
        <v>18-028</v>
      </c>
      <c r="H1475" s="26" t="str">
        <f ca="1">IFERROR(__xludf.DUMMYFUNCTION("IF(I1647="""","""",FILTER(DATOS!$C$4:$C$237,DATOS!$B$4:$B$237=I1647))"),"RAFAEL URIBE")</f>
        <v>RAFAEL URIBE</v>
      </c>
      <c r="I1475" s="36" t="s">
        <v>74</v>
      </c>
      <c r="J1475" s="36" t="s">
        <v>552</v>
      </c>
      <c r="K1475" s="108">
        <v>14000</v>
      </c>
      <c r="L1475" s="11"/>
    </row>
    <row r="1476" spans="1:12" ht="15.75" customHeight="1">
      <c r="A1476" s="243"/>
      <c r="B1476" s="197"/>
      <c r="C1476" s="197"/>
      <c r="D1476" s="228"/>
      <c r="E1476" s="228"/>
      <c r="F1476" s="197"/>
      <c r="G1476" s="26" t="str">
        <f ca="1">IFERROR(__xludf.DUMMYFUNCTION("IF(I1648="""","""",FILTER(DATOS!$D$4:$D$237,DATOS!$B$4:$B$237=I1648))"),"18-090")</f>
        <v>18-090</v>
      </c>
      <c r="H1476" s="26" t="str">
        <f ca="1">IFERROR(__xludf.DUMMYFUNCTION("IF(I1648="""","""",FILTER(DATOS!$C$4:$C$237,DATOS!$B$4:$B$237=I1648))"),"RAFAEL URIBE")</f>
        <v>RAFAEL URIBE</v>
      </c>
      <c r="I1476" s="36" t="s">
        <v>94</v>
      </c>
      <c r="J1476" s="36" t="s">
        <v>552</v>
      </c>
      <c r="K1476" s="108">
        <v>7000</v>
      </c>
      <c r="L1476" s="11"/>
    </row>
    <row r="1477" spans="1:12" ht="15.75" customHeight="1">
      <c r="A1477" s="243"/>
      <c r="B1477" s="197"/>
      <c r="C1477" s="197"/>
      <c r="D1477" s="228"/>
      <c r="E1477" s="228"/>
      <c r="F1477" s="197"/>
      <c r="G1477" s="26" t="str">
        <f ca="1">IFERROR(__xludf.DUMMYFUNCTION("IF(I1649="""","""",FILTER(DATOS!$D$4:$D$237,DATOS!$B$4:$B$237=I1649))"),"18-162")</f>
        <v>18-162</v>
      </c>
      <c r="H1477" s="26" t="str">
        <f ca="1">IFERROR(__xludf.DUMMYFUNCTION("IF(I1649="""","""",FILTER(DATOS!$C$4:$C$237,DATOS!$B$4:$B$237=I1649))"),"RAFAEL URIBE")</f>
        <v>RAFAEL URIBE</v>
      </c>
      <c r="I1477" s="36" t="s">
        <v>113</v>
      </c>
      <c r="J1477" s="36" t="s">
        <v>552</v>
      </c>
      <c r="K1477" s="108">
        <v>28000</v>
      </c>
      <c r="L1477" s="11"/>
    </row>
    <row r="1478" spans="1:12" ht="15.75" customHeight="1">
      <c r="A1478" s="243"/>
      <c r="B1478" s="197"/>
      <c r="C1478" s="197"/>
      <c r="D1478" s="228"/>
      <c r="E1478" s="228"/>
      <c r="F1478" s="197"/>
      <c r="G1478" s="26" t="str">
        <f ca="1">IFERROR(__xludf.DUMMYFUNCTION("IF(I1650="""","""",FILTER(DATOS!$D$4:$D$237,DATOS!$B$4:$B$237=I1650))"),"18-205")</f>
        <v>18-205</v>
      </c>
      <c r="H1478" s="26" t="str">
        <f ca="1">IFERROR(__xludf.DUMMYFUNCTION("IF(I1650="""","""",FILTER(DATOS!$C$4:$C$237,DATOS!$B$4:$B$237=I1650))"),"RAFAEL URIBE")</f>
        <v>RAFAEL URIBE</v>
      </c>
      <c r="I1478" s="36" t="s">
        <v>121</v>
      </c>
      <c r="J1478" s="36" t="s">
        <v>552</v>
      </c>
      <c r="K1478" s="108">
        <v>14000</v>
      </c>
      <c r="L1478" s="11"/>
    </row>
    <row r="1479" spans="1:12" ht="15.75" customHeight="1">
      <c r="A1479" s="243"/>
      <c r="B1479" s="197"/>
      <c r="C1479" s="197"/>
      <c r="D1479" s="228"/>
      <c r="E1479" s="228"/>
      <c r="F1479" s="197"/>
      <c r="G1479" s="26" t="str">
        <f ca="1">IFERROR(__xludf.DUMMYFUNCTION("IF(I1651="""","""",FILTER(DATOS!$D$4:$D$237,DATOS!$B$4:$B$237=I1651))"),"18-207")</f>
        <v>18-207</v>
      </c>
      <c r="H1479" s="26" t="str">
        <f ca="1">IFERROR(__xludf.DUMMYFUNCTION("IF(I1651="""","""",FILTER(DATOS!$C$4:$C$237,DATOS!$B$4:$B$237=I1651))"),"RAFAEL URIBE")</f>
        <v>RAFAEL URIBE</v>
      </c>
      <c r="I1479" s="36" t="s">
        <v>93</v>
      </c>
      <c r="J1479" s="36" t="s">
        <v>552</v>
      </c>
      <c r="K1479" s="108">
        <v>98000</v>
      </c>
      <c r="L1479" s="11"/>
    </row>
    <row r="1480" spans="1:12" ht="15.75" customHeight="1">
      <c r="A1480" s="243"/>
      <c r="B1480" s="197"/>
      <c r="C1480" s="197"/>
      <c r="D1480" s="228"/>
      <c r="E1480" s="228"/>
      <c r="F1480" s="197"/>
      <c r="G1480" s="26" t="str">
        <f ca="1">IFERROR(__xludf.DUMMYFUNCTION("IF(I1652="""","""",FILTER(DATOS!$D$4:$D$237,DATOS!$B$4:$B$237=I1652))"),"18-452")</f>
        <v>18-452</v>
      </c>
      <c r="H1480" s="26" t="str">
        <f ca="1">IFERROR(__xludf.DUMMYFUNCTION("IF(I1652="""","""",FILTER(DATOS!$C$4:$C$237,DATOS!$B$4:$B$237=I1652))"),"RAFAEL URIBE")</f>
        <v>RAFAEL URIBE</v>
      </c>
      <c r="I1480" s="36" t="s">
        <v>98</v>
      </c>
      <c r="J1480" s="36" t="s">
        <v>552</v>
      </c>
      <c r="K1480" s="108">
        <v>70000</v>
      </c>
      <c r="L1480" s="11"/>
    </row>
    <row r="1481" spans="1:12" ht="15.75" customHeight="1">
      <c r="A1481" s="243"/>
      <c r="B1481" s="197"/>
      <c r="C1481" s="197"/>
      <c r="D1481" s="228"/>
      <c r="E1481" s="228"/>
      <c r="F1481" s="197"/>
      <c r="G1481" s="26" t="str">
        <f ca="1">IFERROR(__xludf.DUMMYFUNCTION("IF(I1653="""","""",FILTER(DATOS!$D$4:$D$237,DATOS!$B$4:$B$237=I1653))"),"04-075")</f>
        <v>04-075</v>
      </c>
      <c r="H1481" s="26" t="str">
        <f ca="1">IFERROR(__xludf.DUMMYFUNCTION("IF(I1653="""","""",FILTER(DATOS!$C$4:$C$237,DATOS!$B$4:$B$237=I1653))"),"SAN CRISTOBAL")</f>
        <v>SAN CRISTOBAL</v>
      </c>
      <c r="I1481" s="36" t="s">
        <v>136</v>
      </c>
      <c r="J1481" s="36" t="s">
        <v>552</v>
      </c>
      <c r="K1481" s="108">
        <v>21000</v>
      </c>
      <c r="L1481" s="11"/>
    </row>
    <row r="1482" spans="1:12" ht="15.75" customHeight="1">
      <c r="A1482" s="243"/>
      <c r="B1482" s="197"/>
      <c r="C1482" s="197"/>
      <c r="D1482" s="228"/>
      <c r="E1482" s="228"/>
      <c r="F1482" s="197"/>
      <c r="G1482" s="26" t="str">
        <f ca="1">IFERROR(__xludf.DUMMYFUNCTION("IF(I1654="""","""",FILTER(DATOS!$D$4:$D$237,DATOS!$B$4:$B$237=I1654))"),"04-103")</f>
        <v>04-103</v>
      </c>
      <c r="H1482" s="26" t="str">
        <f ca="1">IFERROR(__xludf.DUMMYFUNCTION("IF(I1654="""","""",FILTER(DATOS!$C$4:$C$237,DATOS!$B$4:$B$237=I1654))"),"SAN CRISTOBAL")</f>
        <v>SAN CRISTOBAL</v>
      </c>
      <c r="I1482" s="36" t="s">
        <v>95</v>
      </c>
      <c r="J1482" s="36" t="s">
        <v>552</v>
      </c>
      <c r="K1482" s="108">
        <v>17000</v>
      </c>
      <c r="L1482" s="11"/>
    </row>
    <row r="1483" spans="1:12" ht="15.75" customHeight="1">
      <c r="A1483" s="243"/>
      <c r="B1483" s="197"/>
      <c r="C1483" s="197"/>
      <c r="D1483" s="228"/>
      <c r="E1483" s="228"/>
      <c r="F1483" s="197"/>
      <c r="G1483" s="26" t="str">
        <f ca="1">IFERROR(__xludf.DUMMYFUNCTION("IF(I1655="""","""",FILTER(DATOS!$D$4:$D$237,DATOS!$B$4:$B$237=I1655))"),"04-196")</f>
        <v>04-196</v>
      </c>
      <c r="H1483" s="26" t="str">
        <f ca="1">IFERROR(__xludf.DUMMYFUNCTION("IF(I1655="""","""",FILTER(DATOS!$C$4:$C$237,DATOS!$B$4:$B$237=I1655))"),"SAN CRISTOBAL")</f>
        <v>SAN CRISTOBAL</v>
      </c>
      <c r="I1483" s="36" t="s">
        <v>134</v>
      </c>
      <c r="J1483" s="36" t="s">
        <v>552</v>
      </c>
      <c r="K1483" s="108">
        <v>35000</v>
      </c>
      <c r="L1483" s="11"/>
    </row>
    <row r="1484" spans="1:12" ht="15.75" customHeight="1">
      <c r="A1484" s="243"/>
      <c r="B1484" s="197"/>
      <c r="C1484" s="197"/>
      <c r="D1484" s="228"/>
      <c r="E1484" s="228"/>
      <c r="F1484" s="197"/>
      <c r="G1484" s="26" t="str">
        <f ca="1">IFERROR(__xludf.DUMMYFUNCTION("IF(I1656="""","""",FILTER(DATOS!$D$4:$D$237,DATOS!$B$4:$B$237=I1656))"),"04-122")</f>
        <v>04-122</v>
      </c>
      <c r="H1484" s="26" t="str">
        <f ca="1">IFERROR(__xludf.DUMMYFUNCTION("IF(I1656="""","""",FILTER(DATOS!$C$4:$C$237,DATOS!$B$4:$B$237=I1656))"),"SAN CRISTOBAL")</f>
        <v>SAN CRISTOBAL</v>
      </c>
      <c r="I1484" s="36" t="s">
        <v>108</v>
      </c>
      <c r="J1484" s="36" t="s">
        <v>552</v>
      </c>
      <c r="K1484" s="108">
        <v>7000</v>
      </c>
      <c r="L1484" s="11"/>
    </row>
    <row r="1485" spans="1:12" ht="15.75" customHeight="1">
      <c r="A1485" s="243"/>
      <c r="B1485" s="197"/>
      <c r="C1485" s="197"/>
      <c r="D1485" s="228"/>
      <c r="E1485" s="228"/>
      <c r="F1485" s="197"/>
      <c r="G1485" s="26" t="str">
        <f ca="1">IFERROR(__xludf.DUMMYFUNCTION("IF(I1659="""","""",FILTER(DATOS!$D$4:$D$237,DATOS!$B$4:$B$237=I1659))"),"11-368")</f>
        <v>11-368</v>
      </c>
      <c r="H1485" s="26" t="str">
        <f ca="1">IFERROR(__xludf.DUMMYFUNCTION("IF(I1659="""","""",FILTER(DATOS!$C$4:$C$237,DATOS!$B$4:$B$237=I1659))"),"SUBA")</f>
        <v>SUBA</v>
      </c>
      <c r="I1485" s="36" t="s">
        <v>35</v>
      </c>
      <c r="J1485" s="36" t="s">
        <v>552</v>
      </c>
      <c r="K1485" s="108">
        <v>573000</v>
      </c>
      <c r="L1485" s="11"/>
    </row>
    <row r="1486" spans="1:12" ht="15.75" customHeight="1" thickBot="1">
      <c r="A1486" s="243"/>
      <c r="B1486" s="197"/>
      <c r="C1486" s="197"/>
      <c r="D1486" s="228"/>
      <c r="E1486" s="228"/>
      <c r="F1486" s="197"/>
      <c r="G1486" s="102" t="str">
        <f ca="1">IFERROR(__xludf.DUMMYFUNCTION("IF(I1660="""","""",FILTER(DATOS!$D$4:$D$237,DATOS!$B$4:$B$237=I1660))"),"04-127")</f>
        <v>04-127</v>
      </c>
      <c r="H1486" s="102" t="str">
        <f ca="1">IFERROR(__xludf.DUMMYFUNCTION("IF(I1660="""","""",FILTER(DATOS!$C$4:$C$237,DATOS!$B$4:$B$237=I1660))"),"SAN CRISTOBAL")</f>
        <v>SAN CRISTOBAL</v>
      </c>
      <c r="I1486" s="81" t="s">
        <v>124</v>
      </c>
      <c r="J1486" s="81" t="s">
        <v>552</v>
      </c>
      <c r="K1486" s="159">
        <v>573000</v>
      </c>
      <c r="L1486" s="11"/>
    </row>
    <row r="1487" spans="1:12" ht="23.25" customHeight="1">
      <c r="A1487" s="255" t="s">
        <v>553</v>
      </c>
      <c r="B1487" s="256" t="s">
        <v>554</v>
      </c>
      <c r="C1487" s="256" t="s">
        <v>555</v>
      </c>
      <c r="D1487" s="258">
        <v>45210</v>
      </c>
      <c r="E1487" s="258">
        <v>45453</v>
      </c>
      <c r="F1487" s="259">
        <v>1</v>
      </c>
      <c r="G1487" s="104" t="str">
        <f ca="1">IFERROR(__xludf.DUMMYFUNCTION("IF(I1663="""","""",FILTER(DATOS!$D$4:$D$237,DATOS!$B$4:$B$237=I1663))"),"03-035")</f>
        <v>03-035</v>
      </c>
      <c r="H1487" s="104" t="str">
        <f ca="1">IFERROR(__xludf.DUMMYFUNCTION("IF(I1663="""","""",FILTER(DATOS!$C$4:$C$237,DATOS!$B$4:$B$237=I1663))"),"SANTAFE")</f>
        <v>SANTAFE</v>
      </c>
      <c r="I1487" s="158" t="s">
        <v>46</v>
      </c>
      <c r="J1487" s="158" t="s">
        <v>556</v>
      </c>
      <c r="K1487" s="160">
        <v>134849425</v>
      </c>
      <c r="L1487" s="57">
        <v>1206853596</v>
      </c>
    </row>
    <row r="1488" spans="1:12" ht="23.25" customHeight="1">
      <c r="A1488" s="243"/>
      <c r="B1488" s="197"/>
      <c r="C1488" s="197"/>
      <c r="D1488" s="228"/>
      <c r="E1488" s="228"/>
      <c r="F1488" s="197"/>
      <c r="G1488" s="26" t="str">
        <f ca="1">IFERROR(__xludf.DUMMYFUNCTION("IF(I1664="""","""",FILTER(DATOS!$D$4:$D$237,DATOS!$B$4:$B$237=I1664))"),"13-089")</f>
        <v>13-089</v>
      </c>
      <c r="H1488" s="26" t="str">
        <f ca="1">IFERROR(__xludf.DUMMYFUNCTION("IF(I1664="""","""",FILTER(DATOS!$C$4:$C$237,DATOS!$B$4:$B$237=I1664))"),"TEUSAQUILLO")</f>
        <v>TEUSAQUILLO</v>
      </c>
      <c r="I1488" s="36" t="s">
        <v>59</v>
      </c>
      <c r="J1488" s="82" t="s">
        <v>557</v>
      </c>
      <c r="K1488" s="108">
        <v>134849424</v>
      </c>
      <c r="L1488" s="11"/>
    </row>
    <row r="1489" spans="1:12" ht="15.75" customHeight="1">
      <c r="A1489" s="243"/>
      <c r="B1489" s="197"/>
      <c r="C1489" s="197"/>
      <c r="D1489" s="228"/>
      <c r="E1489" s="228"/>
      <c r="F1489" s="197"/>
      <c r="G1489" s="26" t="str">
        <f ca="1">IFERROR(__xludf.DUMMYFUNCTION("IF(I1665="""","""",FILTER(DATOS!$D$4:$D$237,DATOS!$B$4:$B$237=I1665))"),"11-204")</f>
        <v>11-204</v>
      </c>
      <c r="H1489" s="26" t="str">
        <f ca="1">IFERROR(__xludf.DUMMYFUNCTION("IF(I1665="""","""",FILTER(DATOS!$C$4:$C$237,DATOS!$B$4:$B$237=I1665))"),"SUBA")</f>
        <v>SUBA</v>
      </c>
      <c r="I1489" s="36" t="s">
        <v>42</v>
      </c>
      <c r="J1489" s="82" t="s">
        <v>558</v>
      </c>
      <c r="K1489" s="108">
        <v>134849424</v>
      </c>
      <c r="L1489" s="11"/>
    </row>
    <row r="1490" spans="1:12" ht="29.25" customHeight="1">
      <c r="A1490" s="243"/>
      <c r="B1490" s="197"/>
      <c r="C1490" s="197"/>
      <c r="D1490" s="228"/>
      <c r="E1490" s="228"/>
      <c r="F1490" s="197"/>
      <c r="G1490" s="26" t="str">
        <f ca="1">IFERROR(__xludf.DUMMYFUNCTION("IF(I1666="""","""",FILTER(DATOS!$D$4:$D$237,DATOS!$B$4:$B$237=I1666))"),"10-311")</f>
        <v>10-311</v>
      </c>
      <c r="H1490" s="26" t="str">
        <f ca="1">IFERROR(__xludf.DUMMYFUNCTION("IF(I1666="""","""",FILTER(DATOS!$C$4:$C$237,DATOS!$B$4:$B$237=I1666))"),"ENGATIVA")</f>
        <v>ENGATIVA</v>
      </c>
      <c r="I1490" s="36" t="s">
        <v>38</v>
      </c>
      <c r="J1490" s="82" t="s">
        <v>559</v>
      </c>
      <c r="K1490" s="108">
        <v>134849424</v>
      </c>
      <c r="L1490" s="11"/>
    </row>
    <row r="1491" spans="1:12" ht="15.75" customHeight="1">
      <c r="A1491" s="243"/>
      <c r="B1491" s="197"/>
      <c r="C1491" s="197"/>
      <c r="D1491" s="228"/>
      <c r="E1491" s="228"/>
      <c r="F1491" s="197"/>
      <c r="G1491" s="26" t="str">
        <f ca="1">IFERROR(__xludf.DUMMYFUNCTION("IF(I1667="""","""",FILTER(DATOS!$D$4:$D$237,DATOS!$B$4:$B$237=I1667))"),"10-531")</f>
        <v>10-531</v>
      </c>
      <c r="H1491" s="26" t="str">
        <f ca="1">IFERROR(__xludf.DUMMYFUNCTION("IF(I1667="""","""",FILTER(DATOS!$C$4:$C$237,DATOS!$B$4:$B$237=I1667))"),"ENGATIVA")</f>
        <v>ENGATIVA</v>
      </c>
      <c r="I1491" s="36" t="s">
        <v>52</v>
      </c>
      <c r="J1491" s="82" t="s">
        <v>560</v>
      </c>
      <c r="K1491" s="108">
        <v>18599900</v>
      </c>
      <c r="L1491" s="11"/>
    </row>
    <row r="1492" spans="1:12" ht="15.75" customHeight="1" thickBot="1">
      <c r="A1492" s="244"/>
      <c r="B1492" s="257"/>
      <c r="C1492" s="257"/>
      <c r="D1492" s="246"/>
      <c r="E1492" s="246"/>
      <c r="F1492" s="257"/>
      <c r="G1492" s="110"/>
      <c r="H1492" s="110"/>
      <c r="I1492" s="161"/>
      <c r="J1492" s="162"/>
      <c r="K1492" s="113">
        <v>0</v>
      </c>
      <c r="L1492" s="11"/>
    </row>
    <row r="1493" spans="1:12" ht="15.75" customHeight="1">
      <c r="A1493" s="218" t="s">
        <v>561</v>
      </c>
      <c r="B1493" s="219" t="s">
        <v>562</v>
      </c>
      <c r="C1493" s="219" t="s">
        <v>563</v>
      </c>
      <c r="D1493" s="261">
        <v>45254</v>
      </c>
      <c r="E1493" s="261">
        <v>45565</v>
      </c>
      <c r="F1493" s="221">
        <v>1</v>
      </c>
      <c r="G1493" s="26" t="str">
        <f ca="1">IFERROR(__xludf.DUMMYFUNCTION("IF(I1670="""","""",FILTER(DATOS!$D$4:$D$237,DATOS!$B$4:$B$237=I1670))"),"04-127")</f>
        <v>04-127</v>
      </c>
      <c r="H1493" s="26" t="str">
        <f ca="1">IFERROR(__xludf.DUMMYFUNCTION("IF(I1670="""","""",FILTER(DATOS!$C$4:$C$237,DATOS!$B$4:$B$237=I1670))"),"SAN CRISTOBAL")</f>
        <v>SAN CRISTOBAL</v>
      </c>
      <c r="I1493" s="36" t="s">
        <v>124</v>
      </c>
      <c r="J1493" s="82" t="s">
        <v>564</v>
      </c>
      <c r="K1493" s="30">
        <v>15497559</v>
      </c>
      <c r="L1493" s="57">
        <v>102078367</v>
      </c>
    </row>
    <row r="1494" spans="1:12" ht="15.75" customHeight="1">
      <c r="A1494" s="214"/>
      <c r="B1494" s="197"/>
      <c r="C1494" s="197"/>
      <c r="D1494" s="228"/>
      <c r="E1494" s="228"/>
      <c r="F1494" s="197"/>
      <c r="G1494" s="26" t="str">
        <f ca="1">IFERROR(__xludf.DUMMYFUNCTION("IF(I1671="""","""",FILTER(DATOS!$D$4:$D$237,DATOS!$B$4:$B$237=I1671))"),"06-063")</f>
        <v>06-063</v>
      </c>
      <c r="H1494" s="26" t="str">
        <f ca="1">IFERROR(__xludf.DUMMYFUNCTION("IF(I1671="""","""",FILTER(DATOS!$C$4:$C$237,DATOS!$B$4:$B$237=I1671))"),"TUNJUELITO")</f>
        <v>TUNJUELITO</v>
      </c>
      <c r="I1494" s="36" t="s">
        <v>88</v>
      </c>
      <c r="J1494" s="82" t="s">
        <v>564</v>
      </c>
      <c r="K1494" s="30">
        <v>6792359</v>
      </c>
      <c r="L1494" s="11"/>
    </row>
    <row r="1495" spans="1:12" ht="30" customHeight="1">
      <c r="A1495" s="214"/>
      <c r="B1495" s="197"/>
      <c r="C1495" s="197"/>
      <c r="D1495" s="228"/>
      <c r="E1495" s="228"/>
      <c r="F1495" s="197"/>
      <c r="G1495" s="26" t="str">
        <f ca="1">IFERROR(__xludf.DUMMYFUNCTION("IF(I1672="""","""",FILTER(DATOS!$D$4:$D$237,DATOS!$B$4:$B$237=I1672))"),"10-290")</f>
        <v>10-290</v>
      </c>
      <c r="H1495" s="26" t="str">
        <f ca="1">IFERROR(__xludf.DUMMYFUNCTION("IF(I1672="""","""",FILTER(DATOS!$C$4:$C$237,DATOS!$B$4:$B$237=I1672))"),"ENGATIVA")</f>
        <v>ENGATIVA</v>
      </c>
      <c r="I1495" s="36" t="s">
        <v>62</v>
      </c>
      <c r="J1495" s="82" t="s">
        <v>564</v>
      </c>
      <c r="K1495" s="30">
        <v>1772480</v>
      </c>
      <c r="L1495" s="11"/>
    </row>
    <row r="1496" spans="1:12" ht="15.75" customHeight="1">
      <c r="A1496" s="214"/>
      <c r="B1496" s="197"/>
      <c r="C1496" s="197"/>
      <c r="D1496" s="228"/>
      <c r="E1496" s="228"/>
      <c r="F1496" s="197"/>
      <c r="G1496" s="26" t="str">
        <f ca="1">IFERROR(__xludf.DUMMYFUNCTION("IF(I1673="""","""",FILTER(DATOS!$D$4:$D$237,DATOS!$B$4:$B$237=I1673))"),"12-091")</f>
        <v>12-091</v>
      </c>
      <c r="H1496" s="26" t="str">
        <f ca="1">IFERROR(__xludf.DUMMYFUNCTION("IF(I1673="""","""",FILTER(DATOS!$C$4:$C$237,DATOS!$B$4:$B$237=I1673))"),"BARRIOS UNIDOS")</f>
        <v>BARRIOS UNIDOS</v>
      </c>
      <c r="I1496" s="36" t="s">
        <v>53</v>
      </c>
      <c r="J1496" s="82" t="s">
        <v>564</v>
      </c>
      <c r="K1496" s="30">
        <v>11987513</v>
      </c>
      <c r="L1496" s="11"/>
    </row>
    <row r="1497" spans="1:12" ht="15.75" customHeight="1">
      <c r="A1497" s="214"/>
      <c r="B1497" s="197"/>
      <c r="C1497" s="197"/>
      <c r="D1497" s="228"/>
      <c r="E1497" s="228"/>
      <c r="F1497" s="197"/>
      <c r="G1497" s="32" t="str">
        <f ca="1">IFERROR(__xludf.DUMMYFUNCTION("IF(I1674="""","""",FILTER(DATOS!$D$4:$D$237,DATOS!$B$4:$B$237=I1674))"),"12-1000")</f>
        <v>12-1000</v>
      </c>
      <c r="H1497" s="32" t="str">
        <f ca="1">IFERROR(__xludf.DUMMYFUNCTION("IF(I1674="""","""",FILTER(DATOS!$C$4:$C$237,DATOS!$B$4:$B$237=I1674))"),"BARRIOS UNIDOS")</f>
        <v>BARRIOS UNIDOS</v>
      </c>
      <c r="I1497" s="36" t="s">
        <v>28</v>
      </c>
      <c r="J1497" s="82" t="s">
        <v>564</v>
      </c>
      <c r="K1497" s="30">
        <v>9632556</v>
      </c>
      <c r="L1497" s="11"/>
    </row>
    <row r="1498" spans="1:12" ht="15.75" customHeight="1">
      <c r="A1498" s="214"/>
      <c r="B1498" s="197"/>
      <c r="C1498" s="197"/>
      <c r="D1498" s="228"/>
      <c r="E1498" s="228"/>
      <c r="F1498" s="197"/>
      <c r="G1498" s="26" t="str">
        <f ca="1">IFERROR(__xludf.DUMMYFUNCTION("IF(I1675="""","""",FILTER(DATOS!$D$4:$D$237,DATOS!$B$4:$B$237=I1675))"),"08-241")</f>
        <v>08-241</v>
      </c>
      <c r="H1498" s="26" t="str">
        <f ca="1">IFERROR(__xludf.DUMMYFUNCTION("IF(I1675="""","""",FILTER(DATOS!$C$4:$C$237,DATOS!$B$4:$B$237=I1675))"),"KENNEDY")</f>
        <v>KENNEDY</v>
      </c>
      <c r="I1498" s="36" t="s">
        <v>78</v>
      </c>
      <c r="J1498" s="82" t="s">
        <v>564</v>
      </c>
      <c r="K1498" s="30">
        <v>13189607</v>
      </c>
      <c r="L1498" s="11"/>
    </row>
    <row r="1499" spans="1:12" ht="15.75" customHeight="1">
      <c r="A1499" s="214"/>
      <c r="B1499" s="197"/>
      <c r="C1499" s="197"/>
      <c r="D1499" s="228"/>
      <c r="E1499" s="228"/>
      <c r="F1499" s="197"/>
      <c r="G1499" s="26" t="str">
        <f ca="1">IFERROR(__xludf.DUMMYFUNCTION("IF(I1676="""","""",FILTER(DATOS!$D$4:$D$237,DATOS!$B$4:$B$237=I1676))"),"07-036")</f>
        <v>07-036</v>
      </c>
      <c r="H1499" s="26" t="str">
        <f ca="1">IFERROR(__xludf.DUMMYFUNCTION("IF(I1676="""","""",FILTER(DATOS!$C$4:$C$237,DATOS!$B$4:$B$237=I1676))"),"BOSA")</f>
        <v>BOSA</v>
      </c>
      <c r="I1499" s="36" t="s">
        <v>131</v>
      </c>
      <c r="J1499" s="82" t="s">
        <v>564</v>
      </c>
      <c r="K1499" s="30">
        <v>4577780</v>
      </c>
      <c r="L1499" s="11"/>
    </row>
    <row r="1500" spans="1:12" ht="15.75" customHeight="1">
      <c r="A1500" s="214"/>
      <c r="B1500" s="197"/>
      <c r="C1500" s="197"/>
      <c r="D1500" s="228"/>
      <c r="E1500" s="228"/>
      <c r="F1500" s="197"/>
      <c r="G1500" s="26" t="str">
        <f ca="1">IFERROR(__xludf.DUMMYFUNCTION("IF(I1677="""","""",FILTER(DATOS!$D$4:$D$237,DATOS!$B$4:$B$237=I1677))"),"11-204")</f>
        <v>11-204</v>
      </c>
      <c r="H1500" s="26" t="str">
        <f ca="1">IFERROR(__xludf.DUMMYFUNCTION("IF(I1677="""","""",FILTER(DATOS!$C$4:$C$237,DATOS!$B$4:$B$237=I1677))"),"SUBA")</f>
        <v>SUBA</v>
      </c>
      <c r="I1500" s="36" t="s">
        <v>68</v>
      </c>
      <c r="J1500" s="82" t="s">
        <v>564</v>
      </c>
      <c r="K1500" s="30">
        <v>5603817</v>
      </c>
      <c r="L1500" s="11"/>
    </row>
    <row r="1501" spans="1:12" ht="15.75" customHeight="1">
      <c r="A1501" s="214"/>
      <c r="B1501" s="197"/>
      <c r="C1501" s="197"/>
      <c r="D1501" s="228"/>
      <c r="E1501" s="228"/>
      <c r="F1501" s="197"/>
      <c r="G1501" s="26" t="str">
        <f ca="1">IFERROR(__xludf.DUMMYFUNCTION("IF(I1678="""","""",FILTER(DATOS!$D$4:$D$237,DATOS!$B$4:$B$237=I1678))"),"11-368")</f>
        <v>11-368</v>
      </c>
      <c r="H1501" s="26" t="str">
        <f ca="1">IFERROR(__xludf.DUMMYFUNCTION("IF(I1678="""","""",FILTER(DATOS!$C$4:$C$237,DATOS!$B$4:$B$237=I1678))"),"SUBA")</f>
        <v>SUBA</v>
      </c>
      <c r="I1501" s="36" t="s">
        <v>35</v>
      </c>
      <c r="J1501" s="82" t="s">
        <v>564</v>
      </c>
      <c r="K1501" s="30">
        <v>13532788</v>
      </c>
      <c r="L1501" s="11"/>
    </row>
    <row r="1502" spans="1:12" ht="15.75" customHeight="1" thickBot="1">
      <c r="A1502" s="186"/>
      <c r="B1502" s="191"/>
      <c r="C1502" s="191"/>
      <c r="D1502" s="229"/>
      <c r="E1502" s="229"/>
      <c r="F1502" s="191"/>
      <c r="G1502" s="91" t="str">
        <f ca="1">IFERROR(__xludf.DUMMYFUNCTION("IF(I1679="""","""",FILTER(DATOS!$D$4:$D$237,DATOS!$B$4:$B$237=I1679))"),"")</f>
        <v/>
      </c>
      <c r="H1502" s="91" t="str">
        <f ca="1">IFERROR(__xludf.DUMMYFUNCTION("IF(I1679="""","""",FILTER(DATOS!$C$4:$C$237,DATOS!$B$4:$B$237=I1679))"),"")</f>
        <v/>
      </c>
      <c r="I1502" s="145"/>
      <c r="J1502" s="163"/>
      <c r="K1502" s="46">
        <v>0</v>
      </c>
      <c r="L1502" s="11"/>
    </row>
    <row r="1503" spans="1:12" ht="29.25" customHeight="1">
      <c r="A1503" s="213" t="s">
        <v>565</v>
      </c>
      <c r="B1503" s="215" t="s">
        <v>566</v>
      </c>
      <c r="C1503" s="215" t="s">
        <v>567</v>
      </c>
      <c r="D1503" s="250">
        <v>45261</v>
      </c>
      <c r="E1503" s="250">
        <v>45656</v>
      </c>
      <c r="F1503" s="217">
        <v>0.8</v>
      </c>
      <c r="G1503" s="21" t="str">
        <f ca="1">IFERROR(__xludf.DUMMYFUNCTION("IF(I1680="""","""",FILTER(DATOS!$D$4:$D$237,DATOS!$B$4:$B$237=I1680))"),"13-089")</f>
        <v>13-089</v>
      </c>
      <c r="H1503" s="21" t="str">
        <f ca="1">IFERROR(__xludf.DUMMYFUNCTION("IF(I1680="""","""",FILTER(DATOS!$C$4:$C$237,DATOS!$B$4:$B$237=I1680))"),"TEUSAQUILLO")</f>
        <v>TEUSAQUILLO</v>
      </c>
      <c r="I1503" s="39" t="s">
        <v>59</v>
      </c>
      <c r="J1503" s="86" t="s">
        <v>568</v>
      </c>
      <c r="K1503" s="146">
        <v>491481</v>
      </c>
      <c r="L1503" s="57">
        <v>196034460</v>
      </c>
    </row>
    <row r="1504" spans="1:12" ht="15.75" customHeight="1">
      <c r="A1504" s="214"/>
      <c r="B1504" s="197"/>
      <c r="C1504" s="197"/>
      <c r="D1504" s="228"/>
      <c r="E1504" s="228"/>
      <c r="F1504" s="197"/>
      <c r="G1504" s="26" t="str">
        <f ca="1">IFERROR(__xludf.DUMMYFUNCTION("IF(I1681="""","""",FILTER(DATOS!$D$4:$D$237,DATOS!$B$4:$B$237=I1681))"),"06-063")</f>
        <v>06-063</v>
      </c>
      <c r="H1504" s="26" t="str">
        <f ca="1">IFERROR(__xludf.DUMMYFUNCTION("IF(I1681="""","""",FILTER(DATOS!$C$4:$C$237,DATOS!$B$4:$B$237=I1681))"),"TUNJUELITO")</f>
        <v>TUNJUELITO</v>
      </c>
      <c r="I1504" s="96" t="s">
        <v>88</v>
      </c>
      <c r="J1504" s="164" t="s">
        <v>568</v>
      </c>
      <c r="K1504" s="30">
        <v>491481</v>
      </c>
      <c r="L1504" s="11"/>
    </row>
    <row r="1505" spans="1:12" ht="15.75" customHeight="1">
      <c r="A1505" s="214"/>
      <c r="B1505" s="197"/>
      <c r="C1505" s="197"/>
      <c r="D1505" s="228"/>
      <c r="E1505" s="228"/>
      <c r="F1505" s="197"/>
      <c r="G1505" s="26" t="str">
        <f ca="1">IFERROR(__xludf.DUMMYFUNCTION("IF(I1682="""","""",FILTER(DATOS!$D$4:$D$237,DATOS!$B$4:$B$237=I1682))"),"04-127")</f>
        <v>04-127</v>
      </c>
      <c r="H1505" s="26" t="str">
        <f ca="1">IFERROR(__xludf.DUMMYFUNCTION("IF(I1682="""","""",FILTER(DATOS!$C$4:$C$237,DATOS!$B$4:$B$237=I1682))"),"SAN CRISTOBAL")</f>
        <v>SAN CRISTOBAL</v>
      </c>
      <c r="I1505" s="96" t="s">
        <v>124</v>
      </c>
      <c r="J1505" s="164" t="s">
        <v>568</v>
      </c>
      <c r="K1505" s="30">
        <v>491481</v>
      </c>
      <c r="L1505" s="11"/>
    </row>
    <row r="1506" spans="1:12" ht="15.75" customHeight="1">
      <c r="A1506" s="214"/>
      <c r="B1506" s="197"/>
      <c r="C1506" s="197"/>
      <c r="D1506" s="228"/>
      <c r="E1506" s="228"/>
      <c r="F1506" s="197"/>
      <c r="G1506" s="26" t="str">
        <f ca="1">IFERROR(__xludf.DUMMYFUNCTION("IF(I1683="""","""",FILTER(DATOS!$D$4:$D$237,DATOS!$B$4:$B$237=I1683))"),"11-368")</f>
        <v>11-368</v>
      </c>
      <c r="H1506" s="26" t="str">
        <f ca="1">IFERROR(__xludf.DUMMYFUNCTION("IF(I1683="""","""",FILTER(DATOS!$C$4:$C$237,DATOS!$B$4:$B$237=I1683))"),"SUBA")</f>
        <v>SUBA</v>
      </c>
      <c r="I1506" s="96" t="s">
        <v>35</v>
      </c>
      <c r="J1506" s="164" t="s">
        <v>568</v>
      </c>
      <c r="K1506" s="30">
        <v>491482</v>
      </c>
      <c r="L1506" s="11"/>
    </row>
    <row r="1507" spans="1:12" ht="15.75" customHeight="1">
      <c r="A1507" s="214"/>
      <c r="B1507" s="197"/>
      <c r="C1507" s="197"/>
      <c r="D1507" s="228"/>
      <c r="E1507" s="228"/>
      <c r="F1507" s="197"/>
      <c r="G1507" s="32" t="str">
        <f ca="1">IFERROR(__xludf.DUMMYFUNCTION("IF(I1684="""","""",FILTER(DATOS!$D$4:$D$237,DATOS!$B$4:$B$237=I1684))"),"12-1000")</f>
        <v>12-1000</v>
      </c>
      <c r="H1507" s="32" t="str">
        <f ca="1">IFERROR(__xludf.DUMMYFUNCTION("IF(I1684="""","""",FILTER(DATOS!$C$4:$C$237,DATOS!$B$4:$B$237=I1684))"),"BARRIOS UNIDOS")</f>
        <v>BARRIOS UNIDOS</v>
      </c>
      <c r="I1507" s="96" t="s">
        <v>28</v>
      </c>
      <c r="J1507" s="164" t="s">
        <v>568</v>
      </c>
      <c r="K1507" s="30">
        <v>491481</v>
      </c>
      <c r="L1507" s="11"/>
    </row>
    <row r="1508" spans="1:12" ht="15.75" customHeight="1" thickBot="1">
      <c r="A1508" s="186"/>
      <c r="B1508" s="191"/>
      <c r="C1508" s="191"/>
      <c r="D1508" s="229"/>
      <c r="E1508" s="229"/>
      <c r="F1508" s="191"/>
      <c r="G1508" s="26" t="str">
        <f ca="1">IFERROR(__xludf.DUMMYFUNCTION("IF(I1685="""","""",FILTER(DATOS!$D$4:$D$237,DATOS!$B$4:$B$237=I1685))"),"")</f>
        <v/>
      </c>
      <c r="H1508" s="26" t="str">
        <f ca="1">IFERROR(__xludf.DUMMYFUNCTION("IF(I1685="""","""",FILTER(DATOS!$C$4:$C$237,DATOS!$B$4:$B$237=I1685))"),"")</f>
        <v/>
      </c>
      <c r="I1508" s="145"/>
      <c r="J1508" s="163"/>
      <c r="K1508" s="30">
        <v>0</v>
      </c>
      <c r="L1508" s="11"/>
    </row>
    <row r="1509" spans="1:12" ht="28.5" customHeight="1">
      <c r="A1509" s="213" t="s">
        <v>569</v>
      </c>
      <c r="B1509" s="215" t="s">
        <v>570</v>
      </c>
      <c r="C1509" s="215" t="s">
        <v>571</v>
      </c>
      <c r="D1509" s="250">
        <v>45267</v>
      </c>
      <c r="E1509" s="250">
        <v>45722</v>
      </c>
      <c r="F1509" s="217">
        <v>0.64270000000000005</v>
      </c>
      <c r="G1509" s="21" t="str">
        <f ca="1">IFERROR(__xludf.DUMMYFUNCTION("IF(I1686="""","""",FILTER(DATOS!$D$4:$D$237,DATOS!$B$4:$B$237=I1686))"),"10-311")</f>
        <v>10-311</v>
      </c>
      <c r="H1509" s="21" t="str">
        <f ca="1">IFERROR(__xludf.DUMMYFUNCTION("IF(I1686="""","""",FILTER(DATOS!$C$4:$C$237,DATOS!$B$4:$B$237=I1686))"),"ENGATIVA")</f>
        <v>ENGATIVA</v>
      </c>
      <c r="I1509" s="77" t="s">
        <v>38</v>
      </c>
      <c r="J1509" s="77" t="s">
        <v>572</v>
      </c>
      <c r="K1509" s="146">
        <v>178890334</v>
      </c>
      <c r="L1509" s="57">
        <v>278334775</v>
      </c>
    </row>
    <row r="1510" spans="1:12" ht="28.5" customHeight="1" thickBot="1">
      <c r="A1510" s="186"/>
      <c r="B1510" s="191"/>
      <c r="C1510" s="191"/>
      <c r="D1510" s="229"/>
      <c r="E1510" s="229"/>
      <c r="F1510" s="191"/>
      <c r="G1510" s="70"/>
      <c r="H1510" s="70"/>
      <c r="I1510" s="165"/>
      <c r="J1510" s="59"/>
      <c r="K1510" s="60">
        <v>0</v>
      </c>
      <c r="L1510" s="11"/>
    </row>
    <row r="1511" spans="1:12" ht="15.75" customHeight="1">
      <c r="A1511" s="213" t="s">
        <v>573</v>
      </c>
      <c r="B1511" s="215" t="s">
        <v>574</v>
      </c>
      <c r="C1511" s="215" t="s">
        <v>575</v>
      </c>
      <c r="D1511" s="250">
        <v>45344</v>
      </c>
      <c r="E1511" s="250">
        <v>45586</v>
      </c>
      <c r="F1511" s="217">
        <v>0.11</v>
      </c>
      <c r="G1511" s="21" t="str">
        <f ca="1">IFERROR(__xludf.DUMMYFUNCTION("IF(I1688="""","""",FILTER(DATOS!$D$4:$D$237,DATOS!$B$4:$B$237=I1688))"),"06-063")</f>
        <v>06-063</v>
      </c>
      <c r="H1511" s="21" t="str">
        <f ca="1">IFERROR(__xludf.DUMMYFUNCTION("IF(I1688="""","""",FILTER(DATOS!$C$4:$C$237,DATOS!$B$4:$B$237=I1688))"),"TUNJUELITO")</f>
        <v>TUNJUELITO</v>
      </c>
      <c r="I1511" s="166" t="s">
        <v>88</v>
      </c>
      <c r="J1511" s="167" t="s">
        <v>576</v>
      </c>
      <c r="K1511" s="146">
        <v>3342187</v>
      </c>
      <c r="L1511" s="168">
        <v>80000000</v>
      </c>
    </row>
    <row r="1512" spans="1:12" ht="15.75" customHeight="1">
      <c r="A1512" s="214"/>
      <c r="B1512" s="197"/>
      <c r="C1512" s="197"/>
      <c r="D1512" s="228"/>
      <c r="E1512" s="228"/>
      <c r="F1512" s="197"/>
      <c r="G1512" s="26" t="str">
        <f ca="1">IFERROR(__xludf.DUMMYFUNCTION("IF(I1689="""","""",FILTER(DATOS!$D$4:$D$237,DATOS!$B$4:$B$237=I1689))"),"04-127")</f>
        <v>04-127</v>
      </c>
      <c r="H1512" s="26" t="str">
        <f ca="1">IFERROR(__xludf.DUMMYFUNCTION("IF(I1689="""","""",FILTER(DATOS!$C$4:$C$237,DATOS!$B$4:$B$237=I1689))"),"SAN CRISTOBAL")</f>
        <v>SAN CRISTOBAL</v>
      </c>
      <c r="I1512" s="96" t="s">
        <v>124</v>
      </c>
      <c r="J1512" s="164" t="s">
        <v>577</v>
      </c>
      <c r="K1512" s="30">
        <v>1056385</v>
      </c>
      <c r="L1512" s="11"/>
    </row>
    <row r="1513" spans="1:12" ht="15.75" customHeight="1">
      <c r="A1513" s="214"/>
      <c r="B1513" s="197"/>
      <c r="C1513" s="197"/>
      <c r="D1513" s="228"/>
      <c r="E1513" s="228"/>
      <c r="F1513" s="197"/>
      <c r="G1513" s="32" t="str">
        <f ca="1">IFERROR(__xludf.DUMMYFUNCTION("IF(I1690="""","""",FILTER(DATOS!$D$4:$D$237,DATOS!$B$4:$B$237=I1690))"),"12-1000")</f>
        <v>12-1000</v>
      </c>
      <c r="H1513" s="32" t="str">
        <f ca="1">IFERROR(__xludf.DUMMYFUNCTION("IF(I1690="""","""",FILTER(DATOS!$C$4:$C$237,DATOS!$B$4:$B$237=I1690))"),"BARRIOS UNIDOS")</f>
        <v>BARRIOS UNIDOS</v>
      </c>
      <c r="I1513" s="96" t="s">
        <v>28</v>
      </c>
      <c r="J1513" s="164" t="s">
        <v>578</v>
      </c>
      <c r="K1513" s="30">
        <v>2427866</v>
      </c>
      <c r="L1513" s="11"/>
    </row>
    <row r="1514" spans="1:12" ht="15.75" customHeight="1">
      <c r="A1514" s="214"/>
      <c r="B1514" s="197"/>
      <c r="C1514" s="197"/>
      <c r="D1514" s="228"/>
      <c r="E1514" s="228"/>
      <c r="F1514" s="197"/>
      <c r="G1514" s="26" t="str">
        <f ca="1">IFERROR(__xludf.DUMMYFUNCTION("IF(I1691="""","""",FILTER(DATOS!$D$4:$D$237,DATOS!$B$4:$B$237=I1691))"),"19-188")</f>
        <v>19-188</v>
      </c>
      <c r="H1514" s="26" t="str">
        <f ca="1">IFERROR(__xludf.DUMMYFUNCTION("IF(I1691="""","""",FILTER(DATOS!$C$4:$C$237,DATOS!$B$4:$B$237=I1691))"),"CIUDAD BOLIVAR")</f>
        <v>CIUDAD BOLIVAR</v>
      </c>
      <c r="I1514" s="82" t="s">
        <v>72</v>
      </c>
      <c r="J1514" s="164" t="s">
        <v>579</v>
      </c>
      <c r="K1514" s="30">
        <v>714502.03</v>
      </c>
      <c r="L1514" s="11"/>
    </row>
    <row r="1515" spans="1:12" ht="15.75" customHeight="1">
      <c r="A1515" s="214"/>
      <c r="B1515" s="197"/>
      <c r="C1515" s="197"/>
      <c r="D1515" s="228"/>
      <c r="E1515" s="228"/>
      <c r="F1515" s="197"/>
      <c r="G1515" s="26" t="str">
        <f ca="1">IFERROR(__xludf.DUMMYFUNCTION("IF(I1692="""","""",FILTER(DATOS!$D$4:$D$237,DATOS!$B$4:$B$237=I1692))"),"11-368")</f>
        <v>11-368</v>
      </c>
      <c r="H1515" s="26" t="str">
        <f ca="1">IFERROR(__xludf.DUMMYFUNCTION("IF(I1692="""","""",FILTER(DATOS!$C$4:$C$237,DATOS!$B$4:$B$237=I1692))"),"SUBA")</f>
        <v>SUBA</v>
      </c>
      <c r="I1515" s="82" t="s">
        <v>35</v>
      </c>
      <c r="J1515" s="164" t="s">
        <v>580</v>
      </c>
      <c r="K1515" s="30">
        <v>1089871</v>
      </c>
      <c r="L1515" s="11"/>
    </row>
    <row r="1516" spans="1:12" ht="15.75" customHeight="1">
      <c r="A1516" s="214"/>
      <c r="B1516" s="197"/>
      <c r="C1516" s="197"/>
      <c r="D1516" s="228"/>
      <c r="E1516" s="228"/>
      <c r="F1516" s="197"/>
      <c r="G1516" s="26" t="str">
        <f ca="1">IFERROR(__xludf.DUMMYFUNCTION("IF(I1693="""","""",FILTER(DATOS!$D$4:$D$237,DATOS!$B$4:$B$237=I1693))"),"13-122")</f>
        <v>13-122</v>
      </c>
      <c r="H1516" s="26" t="str">
        <f ca="1">IFERROR(__xludf.DUMMYFUNCTION("IF(I1693="""","""",FILTER(DATOS!$C$4:$C$237,DATOS!$B$4:$B$237=I1693))"),"TEUSAQUILLO")</f>
        <v>TEUSAQUILLO</v>
      </c>
      <c r="I1516" s="82" t="s">
        <v>32</v>
      </c>
      <c r="J1516" s="164" t="s">
        <v>581</v>
      </c>
      <c r="K1516" s="30">
        <v>855265</v>
      </c>
      <c r="L1516" s="11"/>
    </row>
    <row r="1517" spans="1:12" ht="15.75" customHeight="1">
      <c r="A1517" s="214"/>
      <c r="B1517" s="197"/>
      <c r="C1517" s="197"/>
      <c r="D1517" s="228"/>
      <c r="E1517" s="228"/>
      <c r="F1517" s="197"/>
      <c r="G1517" s="26" t="str">
        <f ca="1">IFERROR(__xludf.DUMMYFUNCTION("IF(I1694="""","""",FILTER(DATOS!$D$4:$D$237,DATOS!$B$4:$B$237=I1694))"),"08-554")</f>
        <v>08-554</v>
      </c>
      <c r="H1517" s="26" t="str">
        <f ca="1">IFERROR(__xludf.DUMMYFUNCTION("IF(I1694="""","""",FILTER(DATOS!$C$4:$C$237,DATOS!$B$4:$B$237=I1694))"),"KENNEDY")</f>
        <v>KENNEDY</v>
      </c>
      <c r="I1517" s="82" t="s">
        <v>90</v>
      </c>
      <c r="J1517" s="164" t="s">
        <v>581</v>
      </c>
      <c r="K1517" s="30">
        <v>855265</v>
      </c>
      <c r="L1517" s="11"/>
    </row>
    <row r="1518" spans="1:12" ht="15.75" customHeight="1">
      <c r="A1518" s="214"/>
      <c r="B1518" s="197"/>
      <c r="C1518" s="197"/>
      <c r="D1518" s="228"/>
      <c r="E1518" s="228"/>
      <c r="F1518" s="197"/>
      <c r="G1518" s="26" t="str">
        <f ca="1">IFERROR(__xludf.DUMMYFUNCTION("IF(I1695="""","""",FILTER(DATOS!$D$4:$D$237,DATOS!$B$4:$B$237=I1695))"),"18-162")</f>
        <v>18-162</v>
      </c>
      <c r="H1518" s="26" t="str">
        <f ca="1">IFERROR(__xludf.DUMMYFUNCTION("IF(I1695="""","""",FILTER(DATOS!$C$4:$C$237,DATOS!$B$4:$B$237=I1695))"),"RAFAEL URIBE")</f>
        <v>RAFAEL URIBE</v>
      </c>
      <c r="I1518" s="82" t="s">
        <v>113</v>
      </c>
      <c r="J1518" s="164" t="s">
        <v>582</v>
      </c>
      <c r="K1518" s="30">
        <v>292212</v>
      </c>
      <c r="L1518" s="11"/>
    </row>
    <row r="1519" spans="1:12" ht="15.75" customHeight="1">
      <c r="A1519" s="214"/>
      <c r="B1519" s="197"/>
      <c r="C1519" s="197"/>
      <c r="D1519" s="228"/>
      <c r="E1519" s="228"/>
      <c r="F1519" s="197"/>
      <c r="G1519" s="26" t="str">
        <f ca="1">IFERROR(__xludf.DUMMYFUNCTION("IF(I1696="""","""",FILTER(DATOS!$D$4:$D$237,DATOS!$B$4:$B$237=I1696))"),"06-063")</f>
        <v>06-063</v>
      </c>
      <c r="H1519" s="26" t="str">
        <f ca="1">IFERROR(__xludf.DUMMYFUNCTION("IF(I1696="""","""",FILTER(DATOS!$C$4:$C$237,DATOS!$B$4:$B$237=I1696))"),"TUNJUELITO")</f>
        <v>TUNJUELITO</v>
      </c>
      <c r="I1519" s="36" t="s">
        <v>87</v>
      </c>
      <c r="J1519" s="164" t="s">
        <v>583</v>
      </c>
      <c r="K1519" s="30">
        <v>996029</v>
      </c>
      <c r="L1519" s="11"/>
    </row>
    <row r="1520" spans="1:12" ht="15.75" customHeight="1">
      <c r="A1520" s="214"/>
      <c r="B1520" s="197"/>
      <c r="C1520" s="197"/>
      <c r="D1520" s="228"/>
      <c r="E1520" s="228"/>
      <c r="F1520" s="197"/>
      <c r="G1520" s="26" t="str">
        <f ca="1">IFERROR(__xludf.DUMMYFUNCTION("IF(I1697="""","""",FILTER(DATOS!$D$4:$D$237,DATOS!$B$4:$B$237=I1697))"),"11-204")</f>
        <v>11-204</v>
      </c>
      <c r="H1520" s="26" t="str">
        <f ca="1">IFERROR(__xludf.DUMMYFUNCTION("IF(I1697="""","""",FILTER(DATOS!$C$4:$C$237,DATOS!$B$4:$B$237=I1697))"),"SUBA")</f>
        <v>SUBA</v>
      </c>
      <c r="I1520" s="36" t="s">
        <v>68</v>
      </c>
      <c r="J1520" s="164" t="s">
        <v>584</v>
      </c>
      <c r="K1520" s="30">
        <v>620660</v>
      </c>
      <c r="L1520" s="11"/>
    </row>
    <row r="1521" spans="1:12" ht="15.75" customHeight="1" thickBot="1">
      <c r="A1521" s="186"/>
      <c r="B1521" s="191"/>
      <c r="C1521" s="191"/>
      <c r="D1521" s="229"/>
      <c r="E1521" s="229"/>
      <c r="F1521" s="191"/>
      <c r="G1521" s="26" t="str">
        <f ca="1">IFERROR(__xludf.DUMMYFUNCTION("IF(I1698="""","""",FILTER(DATOS!$D$4:$D$237,DATOS!$B$4:$B$237=I1698))"),"18-207")</f>
        <v>18-207</v>
      </c>
      <c r="H1521" s="26" t="str">
        <f ca="1">IFERROR(__xludf.DUMMYFUNCTION("IF(I1698="""","""",FILTER(DATOS!$C$4:$C$237,DATOS!$B$4:$B$237=I1698))"),"RAFAEL URIBE")</f>
        <v>RAFAEL URIBE</v>
      </c>
      <c r="I1521" s="145" t="s">
        <v>93</v>
      </c>
      <c r="J1521" s="145" t="s">
        <v>585</v>
      </c>
      <c r="K1521" s="46">
        <v>1042950</v>
      </c>
      <c r="L1521" s="11"/>
    </row>
    <row r="1522" spans="1:12" ht="15.75" customHeight="1">
      <c r="A1522" s="213" t="s">
        <v>586</v>
      </c>
      <c r="B1522" s="215" t="s">
        <v>587</v>
      </c>
      <c r="C1522" s="215" t="s">
        <v>588</v>
      </c>
      <c r="D1522" s="250">
        <v>45294</v>
      </c>
      <c r="E1522" s="250">
        <v>45414</v>
      </c>
      <c r="F1522" s="217">
        <v>1</v>
      </c>
      <c r="G1522" s="147" t="str">
        <f ca="1">IFERROR(__xludf.DUMMYFUNCTION("IF(I1699="""","""",FILTER(DATOS!$D$4:$D$237,DATOS!$B$4:$B$237=I1699))"),"12-1000")</f>
        <v>12-1000</v>
      </c>
      <c r="H1522" s="147" t="str">
        <f ca="1">IFERROR(__xludf.DUMMYFUNCTION("IF(I1699="""","""",FILTER(DATOS!$C$4:$C$237,DATOS!$B$4:$B$237=I1699))"),"BARRIOS UNIDOS")</f>
        <v>BARRIOS UNIDOS</v>
      </c>
      <c r="I1522" s="77" t="s">
        <v>28</v>
      </c>
      <c r="J1522" s="77" t="s">
        <v>589</v>
      </c>
      <c r="K1522" s="146">
        <v>11227083</v>
      </c>
      <c r="L1522" s="20">
        <v>72206397</v>
      </c>
    </row>
    <row r="1523" spans="1:12" ht="15.75" customHeight="1">
      <c r="A1523" s="214"/>
      <c r="B1523" s="197"/>
      <c r="C1523" s="197"/>
      <c r="D1523" s="228"/>
      <c r="E1523" s="228"/>
      <c r="F1523" s="197"/>
      <c r="G1523" s="26" t="str">
        <f ca="1">IFERROR(__xludf.DUMMYFUNCTION("IF(I1700="""","""",FILTER(DATOS!$D$4:$D$237,DATOS!$B$4:$B$237=I1700))"),"06-063")</f>
        <v>06-063</v>
      </c>
      <c r="H1523" s="26" t="str">
        <f ca="1">IFERROR(__xludf.DUMMYFUNCTION("IF(I1700="""","""",FILTER(DATOS!$C$4:$C$237,DATOS!$B$4:$B$237=I1700))"),"TUNJUELITO")</f>
        <v>TUNJUELITO</v>
      </c>
      <c r="I1523" s="36" t="s">
        <v>88</v>
      </c>
      <c r="J1523" s="82" t="s">
        <v>589</v>
      </c>
      <c r="K1523" s="30">
        <v>32897461</v>
      </c>
      <c r="L1523" s="11"/>
    </row>
    <row r="1524" spans="1:12" ht="15.75" customHeight="1">
      <c r="A1524" s="214"/>
      <c r="B1524" s="197"/>
      <c r="C1524" s="197"/>
      <c r="D1524" s="228"/>
      <c r="E1524" s="228"/>
      <c r="F1524" s="197"/>
      <c r="G1524" s="26" t="str">
        <f ca="1">IFERROR(__xludf.DUMMYFUNCTION("IF(I1701="""","""",FILTER(DATOS!$D$4:$D$237,DATOS!$B$4:$B$237=I1701))"),"04-127")</f>
        <v>04-127</v>
      </c>
      <c r="H1524" s="26" t="str">
        <f ca="1">IFERROR(__xludf.DUMMYFUNCTION("IF(I1701="""","""",FILTER(DATOS!$C$4:$C$237,DATOS!$B$4:$B$237=I1701))"),"SAN CRISTOBAL")</f>
        <v>SAN CRISTOBAL</v>
      </c>
      <c r="I1524" s="36" t="s">
        <v>124</v>
      </c>
      <c r="J1524" s="82" t="s">
        <v>590</v>
      </c>
      <c r="K1524" s="30">
        <v>2291603</v>
      </c>
      <c r="L1524" s="11"/>
    </row>
    <row r="1525" spans="1:12" ht="15.75" customHeight="1">
      <c r="A1525" s="214"/>
      <c r="B1525" s="197"/>
      <c r="C1525" s="197"/>
      <c r="D1525" s="228"/>
      <c r="E1525" s="228"/>
      <c r="F1525" s="197"/>
      <c r="G1525" s="26" t="str">
        <f ca="1">IFERROR(__xludf.DUMMYFUNCTION("IF(I1702="""","""",FILTER(DATOS!$D$4:$D$237,DATOS!$B$4:$B$237=I1702))"),"11-204")</f>
        <v>11-204</v>
      </c>
      <c r="H1525" s="26" t="str">
        <f ca="1">IFERROR(__xludf.DUMMYFUNCTION("IF(I1702="""","""",FILTER(DATOS!$C$4:$C$237,DATOS!$B$4:$B$237=I1702))"),"SUBA")</f>
        <v>SUBA</v>
      </c>
      <c r="I1525" s="36" t="s">
        <v>68</v>
      </c>
      <c r="J1525" s="82" t="s">
        <v>590</v>
      </c>
      <c r="K1525" s="30">
        <v>2291603</v>
      </c>
      <c r="L1525" s="11"/>
    </row>
    <row r="1526" spans="1:12" ht="15.75" customHeight="1">
      <c r="A1526" s="214"/>
      <c r="B1526" s="197"/>
      <c r="C1526" s="197"/>
      <c r="D1526" s="228"/>
      <c r="E1526" s="228"/>
      <c r="F1526" s="197"/>
      <c r="G1526" s="26" t="str">
        <f ca="1">IFERROR(__xludf.DUMMYFUNCTION("IF(I1703="""","""",FILTER(DATOS!$D$4:$D$237,DATOS!$B$4:$B$237=I1703))"),"11-368")</f>
        <v>11-368</v>
      </c>
      <c r="H1526" s="26" t="str">
        <f ca="1">IFERROR(__xludf.DUMMYFUNCTION("IF(I1703="""","""",FILTER(DATOS!$C$4:$C$237,DATOS!$B$4:$B$237=I1703))"),"SUBA")</f>
        <v>SUBA</v>
      </c>
      <c r="I1526" s="36" t="s">
        <v>35</v>
      </c>
      <c r="J1526" s="82" t="s">
        <v>590</v>
      </c>
      <c r="K1526" s="30">
        <v>2291603</v>
      </c>
      <c r="L1526" s="11"/>
    </row>
    <row r="1527" spans="1:12" ht="15.75" customHeight="1">
      <c r="A1527" s="214"/>
      <c r="B1527" s="197"/>
      <c r="C1527" s="197"/>
      <c r="D1527" s="228"/>
      <c r="E1527" s="228"/>
      <c r="F1527" s="197"/>
      <c r="G1527" s="26" t="str">
        <f ca="1">IFERROR(__xludf.DUMMYFUNCTION("IF(I1704="""","""",FILTER(DATOS!$D$4:$D$237,DATOS!$B$4:$B$237=I1704))"),"09-111")</f>
        <v>09-111</v>
      </c>
      <c r="H1527" s="26" t="str">
        <f ca="1">IFERROR(__xludf.DUMMYFUNCTION("IF(I1704="""","""",FILTER(DATOS!$C$4:$C$237,DATOS!$B$4:$B$237=I1704))"),"FONTIBON")</f>
        <v>FONTIBON</v>
      </c>
      <c r="I1527" s="81" t="s">
        <v>57</v>
      </c>
      <c r="J1527" s="82" t="s">
        <v>590</v>
      </c>
      <c r="K1527" s="30">
        <v>1657032</v>
      </c>
      <c r="L1527" s="11"/>
    </row>
    <row r="1528" spans="1:12" ht="15.75" customHeight="1">
      <c r="A1528" s="214"/>
      <c r="B1528" s="197"/>
      <c r="C1528" s="197"/>
      <c r="D1528" s="228"/>
      <c r="E1528" s="228"/>
      <c r="F1528" s="197"/>
      <c r="G1528" s="26" t="str">
        <f ca="1">IFERROR(__xludf.DUMMYFUNCTION("IF(I1705="""","""",FILTER(DATOS!$D$4:$D$237,DATOS!$B$4:$B$237=I1705))"),"19-189")</f>
        <v>19-189</v>
      </c>
      <c r="H1528" s="26" t="str">
        <f ca="1">IFERROR(__xludf.DUMMYFUNCTION("IF(I1705="""","""",FILTER(DATOS!$C$4:$C$237,DATOS!$B$4:$B$237=I1705))"),"CIUDAD BOLIVAR")</f>
        <v>CIUDAD BOLIVAR</v>
      </c>
      <c r="I1528" s="81" t="s">
        <v>76</v>
      </c>
      <c r="J1528" s="82" t="s">
        <v>590</v>
      </c>
      <c r="K1528" s="30">
        <v>1657032</v>
      </c>
      <c r="L1528" s="11"/>
    </row>
    <row r="1529" spans="1:12" ht="15.75" customHeight="1">
      <c r="A1529" s="214"/>
      <c r="B1529" s="197"/>
      <c r="C1529" s="197"/>
      <c r="D1529" s="228"/>
      <c r="E1529" s="228"/>
      <c r="F1529" s="197"/>
      <c r="G1529" s="26" t="str">
        <f ca="1">IFERROR(__xludf.DUMMYFUNCTION("IF(I1706="""","""",FILTER(DATOS!$D$4:$D$237,DATOS!$B$4:$B$237=I1706))"),"05-016")</f>
        <v>05-016</v>
      </c>
      <c r="H1529" s="26" t="str">
        <f ca="1">IFERROR(__xludf.DUMMYFUNCTION("IF(I1706="""","""",FILTER(DATOS!$C$4:$C$237,DATOS!$B$4:$B$237=I1706))"),"USME")</f>
        <v>USME</v>
      </c>
      <c r="I1529" s="81" t="s">
        <v>89</v>
      </c>
      <c r="J1529" s="82" t="s">
        <v>590</v>
      </c>
      <c r="K1529" s="30">
        <v>1657032</v>
      </c>
      <c r="L1529" s="11"/>
    </row>
    <row r="1530" spans="1:12" ht="15.75" customHeight="1">
      <c r="A1530" s="214"/>
      <c r="B1530" s="197"/>
      <c r="C1530" s="197"/>
      <c r="D1530" s="228"/>
      <c r="E1530" s="228"/>
      <c r="F1530" s="197"/>
      <c r="G1530" s="26" t="str">
        <f ca="1">IFERROR(__xludf.DUMMYFUNCTION("IF(I1707="""","""",FILTER(DATOS!$D$4:$D$237,DATOS!$B$4:$B$237=I1707))"),"19-230")</f>
        <v>19-230</v>
      </c>
      <c r="H1530" s="26" t="str">
        <f ca="1">IFERROR(__xludf.DUMMYFUNCTION("IF(I1707="""","""",FILTER(DATOS!$C$4:$C$237,DATOS!$B$4:$B$237=I1707))"),"CIUDAD BOLIVAR")</f>
        <v>CIUDAD BOLIVAR</v>
      </c>
      <c r="I1530" s="81" t="s">
        <v>111</v>
      </c>
      <c r="J1530" s="82" t="s">
        <v>590</v>
      </c>
      <c r="K1530" s="30">
        <v>1657032</v>
      </c>
      <c r="L1530" s="11"/>
    </row>
    <row r="1531" spans="1:12" ht="15.75" customHeight="1">
      <c r="A1531" s="214"/>
      <c r="B1531" s="197"/>
      <c r="C1531" s="197"/>
      <c r="D1531" s="228"/>
      <c r="E1531" s="228"/>
      <c r="F1531" s="197"/>
      <c r="G1531" s="26" t="str">
        <f ca="1">IFERROR(__xludf.DUMMYFUNCTION("IF(I1708="""","""",FILTER(DATOS!$D$4:$D$237,DATOS!$B$4:$B$237=I1708))"),"07-152")</f>
        <v>07-152</v>
      </c>
      <c r="H1531" s="26" t="str">
        <f ca="1">IFERROR(__xludf.DUMMYFUNCTION("IF(I1708="""","""",FILTER(DATOS!$C$4:$C$237,DATOS!$B$4:$B$237=I1708))"),"BOSA")</f>
        <v>BOSA</v>
      </c>
      <c r="I1531" s="81" t="s">
        <v>92</v>
      </c>
      <c r="J1531" s="82" t="s">
        <v>590</v>
      </c>
      <c r="K1531" s="30">
        <v>1657032</v>
      </c>
      <c r="L1531" s="11"/>
    </row>
    <row r="1532" spans="1:12" ht="15.75" customHeight="1">
      <c r="A1532" s="214"/>
      <c r="B1532" s="197"/>
      <c r="C1532" s="197"/>
      <c r="D1532" s="228"/>
      <c r="E1532" s="228"/>
      <c r="F1532" s="197"/>
      <c r="G1532" s="26" t="str">
        <f ca="1">IFERROR(__xludf.DUMMYFUNCTION("IF(I1709="""","""",FILTER(DATOS!$D$4:$D$237,DATOS!$B$4:$B$237=I1709))"),"08-034")</f>
        <v>08-034</v>
      </c>
      <c r="H1532" s="26" t="str">
        <f ca="1">IFERROR(__xludf.DUMMYFUNCTION("IF(I1709="""","""",FILTER(DATOS!$C$4:$C$237,DATOS!$B$4:$B$237=I1709))"),"KENNEDY")</f>
        <v>KENNEDY</v>
      </c>
      <c r="I1532" s="81" t="s">
        <v>118</v>
      </c>
      <c r="J1532" s="82" t="s">
        <v>590</v>
      </c>
      <c r="K1532" s="30">
        <v>1657032</v>
      </c>
      <c r="L1532" s="11"/>
    </row>
    <row r="1533" spans="1:12" ht="15.75" customHeight="1" thickBot="1">
      <c r="A1533" s="214"/>
      <c r="B1533" s="197"/>
      <c r="C1533" s="197"/>
      <c r="D1533" s="228"/>
      <c r="E1533" s="228"/>
      <c r="F1533" s="197"/>
      <c r="G1533" s="26" t="str">
        <f ca="1">IFERROR(__xludf.DUMMYFUNCTION("IF(I1710="""","""",FILTER(DATOS!$D$4:$D$237,DATOS!$B$4:$B$237=I1710))"),"10-223")</f>
        <v>10-223</v>
      </c>
      <c r="H1533" s="26" t="str">
        <f ca="1">IFERROR(__xludf.DUMMYFUNCTION("IF(I1710="""","""",FILTER(DATOS!$C$4:$C$237,DATOS!$B$4:$B$237=I1710))"),"ENGATIVA")</f>
        <v>ENGATIVA</v>
      </c>
      <c r="I1533" s="81" t="s">
        <v>41</v>
      </c>
      <c r="J1533" s="82" t="s">
        <v>590</v>
      </c>
      <c r="K1533" s="30">
        <v>1657032</v>
      </c>
      <c r="L1533" s="11"/>
    </row>
    <row r="1534" spans="1:12" ht="24.75" customHeight="1">
      <c r="A1534" s="213" t="s">
        <v>591</v>
      </c>
      <c r="B1534" s="215" t="s">
        <v>592</v>
      </c>
      <c r="C1534" s="215" t="s">
        <v>593</v>
      </c>
      <c r="D1534" s="250">
        <v>45341</v>
      </c>
      <c r="E1534" s="250">
        <v>45522</v>
      </c>
      <c r="F1534" s="217">
        <v>1</v>
      </c>
      <c r="G1534" s="21" t="str">
        <f ca="1">IFERROR(__xludf.DUMMYFUNCTION("IF(I1714="""","""",FILTER(DATOS!$D$4:$D$237,DATOS!$B$4:$B$237=I1714))"),"05-016")</f>
        <v>05-016</v>
      </c>
      <c r="H1534" s="21" t="str">
        <f ca="1">IFERROR(__xludf.DUMMYFUNCTION("IF(I1714="""","""",FILTER(DATOS!$C$4:$C$237,DATOS!$B$4:$B$237=I1714))"),"USME")</f>
        <v>USME</v>
      </c>
      <c r="I1534" s="77" t="s">
        <v>89</v>
      </c>
      <c r="J1534" s="77" t="s">
        <v>594</v>
      </c>
      <c r="K1534" s="146">
        <v>7716461.7499999991</v>
      </c>
      <c r="L1534" s="11">
        <v>122373045</v>
      </c>
    </row>
    <row r="1535" spans="1:12" ht="24.75" customHeight="1">
      <c r="A1535" s="214"/>
      <c r="B1535" s="197"/>
      <c r="C1535" s="197"/>
      <c r="D1535" s="228"/>
      <c r="E1535" s="228"/>
      <c r="F1535" s="197"/>
      <c r="G1535" s="26" t="str">
        <f ca="1">IFERROR(__xludf.DUMMYFUNCTION("IF(I1715="""","""",FILTER(DATOS!$D$4:$D$237,DATOS!$B$4:$B$237=I1715))"),"19-230")</f>
        <v>19-230</v>
      </c>
      <c r="H1535" s="26" t="str">
        <f ca="1">IFERROR(__xludf.DUMMYFUNCTION("IF(I1715="""","""",FILTER(DATOS!$C$4:$C$237,DATOS!$B$4:$B$237=I1715))"),"CIUDAD BOLIVAR")</f>
        <v>CIUDAD BOLIVAR</v>
      </c>
      <c r="I1535" s="36" t="s">
        <v>111</v>
      </c>
      <c r="J1535" s="169" t="s">
        <v>595</v>
      </c>
      <c r="K1535" s="30">
        <v>1736251.0499999998</v>
      </c>
      <c r="L1535" s="11"/>
    </row>
    <row r="1536" spans="1:12" ht="24.75" customHeight="1">
      <c r="A1536" s="214"/>
      <c r="B1536" s="197"/>
      <c r="C1536" s="197"/>
      <c r="D1536" s="228"/>
      <c r="E1536" s="228"/>
      <c r="F1536" s="197"/>
      <c r="G1536" s="26" t="str">
        <f ca="1">IFERROR(__xludf.DUMMYFUNCTION("IF(I1716="""","""",FILTER(DATOS!$D$4:$D$237,DATOS!$B$4:$B$237=I1716))"),"19-189")</f>
        <v>19-189</v>
      </c>
      <c r="H1536" s="26" t="str">
        <f ca="1">IFERROR(__xludf.DUMMYFUNCTION("IF(I1716="""","""",FILTER(DATOS!$C$4:$C$237,DATOS!$B$4:$B$237=I1716))"),"CIUDAD BOLIVAR")</f>
        <v>CIUDAD BOLIVAR</v>
      </c>
      <c r="I1536" s="36" t="s">
        <v>76</v>
      </c>
      <c r="J1536" s="169" t="s">
        <v>595</v>
      </c>
      <c r="K1536" s="30">
        <v>7137711.3999999994</v>
      </c>
      <c r="L1536" s="11"/>
    </row>
    <row r="1537" spans="1:12" ht="24.75" customHeight="1">
      <c r="A1537" s="214"/>
      <c r="B1537" s="197"/>
      <c r="C1537" s="197"/>
      <c r="D1537" s="228"/>
      <c r="E1537" s="228"/>
      <c r="F1537" s="197"/>
      <c r="G1537" s="26" t="str">
        <f ca="1">IFERROR(__xludf.DUMMYFUNCTION("IF(I1717="""","""",FILTER(DATOS!$D$4:$D$237,DATOS!$B$4:$B$237=I1717))"),"06-063")</f>
        <v>06-063</v>
      </c>
      <c r="H1537" s="26" t="str">
        <f ca="1">IFERROR(__xludf.DUMMYFUNCTION("IF(I1717="""","""",FILTER(DATOS!$C$4:$C$237,DATOS!$B$4:$B$237=I1717))"),"TUNJUELITO")</f>
        <v>TUNJUELITO</v>
      </c>
      <c r="I1537" s="36" t="s">
        <v>88</v>
      </c>
      <c r="J1537" s="169" t="s">
        <v>595</v>
      </c>
      <c r="K1537" s="30">
        <v>13954174.15</v>
      </c>
      <c r="L1537" s="11"/>
    </row>
    <row r="1538" spans="1:12" ht="24.75" customHeight="1">
      <c r="A1538" s="214"/>
      <c r="B1538" s="197"/>
      <c r="C1538" s="197"/>
      <c r="D1538" s="228"/>
      <c r="E1538" s="228"/>
      <c r="F1538" s="197"/>
      <c r="G1538" s="26" t="str">
        <f ca="1">IFERROR(__xludf.DUMMYFUNCTION("IF(I1718="""","""",FILTER(DATOS!$D$4:$D$237,DATOS!$B$4:$B$237=I1718))"),"07-152")</f>
        <v>07-152</v>
      </c>
      <c r="H1538" s="26" t="str">
        <f ca="1">IFERROR(__xludf.DUMMYFUNCTION("IF(I1718="""","""",FILTER(DATOS!$C$4:$C$237,DATOS!$B$4:$B$237=I1718))"),"BOSA")</f>
        <v>BOSA</v>
      </c>
      <c r="I1538" s="36" t="s">
        <v>92</v>
      </c>
      <c r="J1538" s="169" t="s">
        <v>595</v>
      </c>
      <c r="K1538" s="30">
        <v>3901272.4000000004</v>
      </c>
      <c r="L1538" s="11"/>
    </row>
    <row r="1539" spans="1:12" ht="24.75" customHeight="1">
      <c r="A1539" s="214"/>
      <c r="B1539" s="197"/>
      <c r="C1539" s="197"/>
      <c r="D1539" s="228"/>
      <c r="E1539" s="228"/>
      <c r="F1539" s="197"/>
      <c r="G1539" s="26" t="str">
        <f ca="1">IFERROR(__xludf.DUMMYFUNCTION("IF(I1719="""","""",FILTER(DATOS!$D$4:$D$237,DATOS!$B$4:$B$237=I1719))"),"08-034")</f>
        <v>08-034</v>
      </c>
      <c r="H1539" s="26" t="str">
        <f ca="1">IFERROR(__xludf.DUMMYFUNCTION("IF(I1719="""","""",FILTER(DATOS!$C$4:$C$237,DATOS!$B$4:$B$237=I1719))"),"KENNEDY")</f>
        <v>KENNEDY</v>
      </c>
      <c r="I1539" s="81" t="s">
        <v>118</v>
      </c>
      <c r="J1539" s="169" t="s">
        <v>595</v>
      </c>
      <c r="K1539" s="30">
        <v>4051261.7500000005</v>
      </c>
      <c r="L1539" s="11"/>
    </row>
    <row r="1540" spans="1:12" ht="24.75" customHeight="1">
      <c r="A1540" s="214"/>
      <c r="B1540" s="197"/>
      <c r="C1540" s="197"/>
      <c r="D1540" s="228"/>
      <c r="E1540" s="228"/>
      <c r="F1540" s="197"/>
      <c r="G1540" s="26" t="str">
        <f ca="1">IFERROR(__xludf.DUMMYFUNCTION("IF(I1720="""","""",FILTER(DATOS!$D$4:$D$237,DATOS!$B$4:$B$237=I1720))"),"04-127")</f>
        <v>04-127</v>
      </c>
      <c r="H1540" s="26" t="str">
        <f ca="1">IFERROR(__xludf.DUMMYFUNCTION("IF(I1720="""","""",FILTER(DATOS!$C$4:$C$237,DATOS!$B$4:$B$237=I1720))"),"SAN CRISTOBAL")</f>
        <v>SAN CRISTOBAL</v>
      </c>
      <c r="I1540" s="81" t="s">
        <v>124</v>
      </c>
      <c r="J1540" s="169" t="s">
        <v>595</v>
      </c>
      <c r="K1540" s="30">
        <v>8573962.4499999993</v>
      </c>
      <c r="L1540" s="11"/>
    </row>
    <row r="1541" spans="1:12" ht="24.75" customHeight="1">
      <c r="A1541" s="214"/>
      <c r="B1541" s="197"/>
      <c r="C1541" s="197"/>
      <c r="D1541" s="228"/>
      <c r="E1541" s="228"/>
      <c r="F1541" s="197"/>
      <c r="G1541" s="26" t="str">
        <f ca="1">IFERROR(__xludf.DUMMYFUNCTION("IF(I1721="""","""",FILTER(DATOS!$D$4:$D$237,DATOS!$B$4:$B$237=I1721))"),"09-111")</f>
        <v>09-111</v>
      </c>
      <c r="H1541" s="26" t="str">
        <f ca="1">IFERROR(__xludf.DUMMYFUNCTION("IF(I1721="""","""",FILTER(DATOS!$C$4:$C$237,DATOS!$B$4:$B$237=I1721))"),"FONTIBON")</f>
        <v>FONTIBON</v>
      </c>
      <c r="I1541" s="81" t="s">
        <v>57</v>
      </c>
      <c r="J1541" s="169" t="s">
        <v>595</v>
      </c>
      <c r="K1541" s="30">
        <v>7137701.7499999991</v>
      </c>
      <c r="L1541" s="11"/>
    </row>
    <row r="1542" spans="1:12" ht="24.75" customHeight="1">
      <c r="A1542" s="214"/>
      <c r="B1542" s="197"/>
      <c r="C1542" s="197"/>
      <c r="D1542" s="228"/>
      <c r="E1542" s="228"/>
      <c r="F1542" s="197"/>
      <c r="G1542" s="32" t="str">
        <f ca="1">IFERROR(__xludf.DUMMYFUNCTION("IF(I1722="""","""",FILTER(DATOS!$D$4:$D$237,DATOS!$B$4:$B$237=I1722))"),"12-1000")</f>
        <v>12-1000</v>
      </c>
      <c r="H1542" s="32" t="str">
        <f ca="1">IFERROR(__xludf.DUMMYFUNCTION("IF(I1722="""","""",FILTER(DATOS!$C$4:$C$237,DATOS!$B$4:$B$237=I1722))"),"BARRIOS UNIDOS")</f>
        <v>BARRIOS UNIDOS</v>
      </c>
      <c r="I1542" s="81" t="s">
        <v>28</v>
      </c>
      <c r="J1542" s="169" t="s">
        <v>595</v>
      </c>
      <c r="K1542" s="30">
        <v>21906897.549999997</v>
      </c>
      <c r="L1542" s="11"/>
    </row>
    <row r="1543" spans="1:12" ht="24.75" customHeight="1">
      <c r="A1543" s="214"/>
      <c r="B1543" s="197"/>
      <c r="C1543" s="197"/>
      <c r="D1543" s="228"/>
      <c r="E1543" s="228"/>
      <c r="F1543" s="197"/>
      <c r="G1543" s="26" t="str">
        <f ca="1">IFERROR(__xludf.DUMMYFUNCTION("IF(I1723="""","""",FILTER(DATOS!$D$4:$D$237,DATOS!$B$4:$B$237=I1723))"),"10-223")</f>
        <v>10-223</v>
      </c>
      <c r="H1543" s="26" t="str">
        <f ca="1">IFERROR(__xludf.DUMMYFUNCTION("IF(I1723="""","""",FILTER(DATOS!$C$4:$C$237,DATOS!$B$4:$B$237=I1723))"),"ENGATIVA")</f>
        <v>ENGATIVA</v>
      </c>
      <c r="I1543" s="81" t="s">
        <v>41</v>
      </c>
      <c r="J1543" s="169" t="s">
        <v>595</v>
      </c>
      <c r="K1543" s="30">
        <v>2165021.35</v>
      </c>
      <c r="L1543" s="11"/>
    </row>
    <row r="1544" spans="1:12" ht="24.75" customHeight="1">
      <c r="A1544" s="214"/>
      <c r="B1544" s="197"/>
      <c r="C1544" s="197"/>
      <c r="D1544" s="228"/>
      <c r="E1544" s="228"/>
      <c r="F1544" s="197"/>
      <c r="G1544" s="26" t="str">
        <f ca="1">IFERROR(__xludf.DUMMYFUNCTION("IF(I1724="""","""",FILTER(DATOS!$D$4:$D$237,DATOS!$B$4:$B$237=I1724))"),"11-368")</f>
        <v>11-368</v>
      </c>
      <c r="H1544" s="26" t="str">
        <f ca="1">IFERROR(__xludf.DUMMYFUNCTION("IF(I1724="""","""",FILTER(DATOS!$C$4:$C$237,DATOS!$B$4:$B$237=I1724))"),"SUBA")</f>
        <v>SUBA</v>
      </c>
      <c r="I1544" s="81" t="s">
        <v>35</v>
      </c>
      <c r="J1544" s="169" t="s">
        <v>595</v>
      </c>
      <c r="K1544" s="30">
        <v>13525413.5</v>
      </c>
      <c r="L1544" s="11"/>
    </row>
    <row r="1545" spans="1:12" ht="24.75" customHeight="1" thickBot="1">
      <c r="A1545" s="214"/>
      <c r="B1545" s="197"/>
      <c r="C1545" s="197"/>
      <c r="D1545" s="228"/>
      <c r="E1545" s="228"/>
      <c r="F1545" s="197"/>
      <c r="G1545" s="26" t="str">
        <f ca="1">IFERROR(__xludf.DUMMYFUNCTION("IF(I1725="""","""",FILTER(DATOS!$D$4:$D$237,DATOS!$B$4:$B$237=I1725))"),"11-204")</f>
        <v>11-204</v>
      </c>
      <c r="H1545" s="26" t="str">
        <f ca="1">IFERROR(__xludf.DUMMYFUNCTION("IF(I1725="""","""",FILTER(DATOS!$C$4:$C$237,DATOS!$B$4:$B$237=I1725))"),"SUBA")</f>
        <v>SUBA</v>
      </c>
      <c r="I1545" s="81" t="s">
        <v>68</v>
      </c>
      <c r="J1545" s="169" t="s">
        <v>595</v>
      </c>
      <c r="K1545" s="30">
        <v>14382924.5</v>
      </c>
      <c r="L1545" s="11"/>
    </row>
    <row r="1546" spans="1:12" ht="15.75" customHeight="1">
      <c r="A1546" s="264" t="s">
        <v>596</v>
      </c>
      <c r="B1546" s="267" t="s">
        <v>510</v>
      </c>
      <c r="C1546" s="267" t="s">
        <v>511</v>
      </c>
      <c r="D1546" s="270">
        <v>45566</v>
      </c>
      <c r="E1546" s="270">
        <v>45869</v>
      </c>
      <c r="F1546" s="271">
        <v>0.74860000000000004</v>
      </c>
      <c r="G1546" s="170" t="str">
        <f ca="1">IFERROR(__xludf.DUMMYFUNCTION("IF(I1728="""","""",FILTER(DATOS!$D$4:$D$237,DATOS!$B$4:$B$237=I1728))"),"03-085")</f>
        <v>03-085</v>
      </c>
      <c r="H1546" s="170" t="str">
        <f ca="1">IFERROR(__xludf.DUMMYFUNCTION("IF(I1728="""","""",FILTER(DATOS!$C$4:$C$237,DATOS!$B$4:$B$237=I1728))"),"SANTAFE")</f>
        <v>SANTAFE</v>
      </c>
      <c r="I1546" s="171" t="s">
        <v>129</v>
      </c>
      <c r="J1546" s="171" t="s">
        <v>597</v>
      </c>
      <c r="K1546" s="172">
        <v>6270000</v>
      </c>
      <c r="L1546" s="11">
        <v>57000000</v>
      </c>
    </row>
    <row r="1547" spans="1:12" ht="15.75" customHeight="1">
      <c r="A1547" s="265"/>
      <c r="B1547" s="268"/>
      <c r="C1547" s="268"/>
      <c r="D1547" s="268"/>
      <c r="E1547" s="268"/>
      <c r="F1547" s="268"/>
      <c r="G1547" s="109" t="str">
        <f ca="1">IFERROR(__xludf.DUMMYFUNCTION("IF(I1729="""","""",FILTER(DATOS!$D$4:$D$237,DATOS!$B$4:$B$237=I1729))"),"09-125")</f>
        <v>09-125</v>
      </c>
      <c r="H1547" s="109" t="str">
        <f ca="1">IFERROR(__xludf.DUMMYFUNCTION("IF(I1729="""","""",FILTER(DATOS!$C$4:$C$237,DATOS!$B$4:$B$237=I1729))"),"FONTIBON")</f>
        <v>FONTIBON</v>
      </c>
      <c r="I1547" s="121" t="s">
        <v>67</v>
      </c>
      <c r="J1547" s="173" t="s">
        <v>597</v>
      </c>
      <c r="K1547" s="174">
        <v>2514960</v>
      </c>
      <c r="L1547" s="11"/>
    </row>
    <row r="1548" spans="1:12" ht="15.75" customHeight="1">
      <c r="A1548" s="265"/>
      <c r="B1548" s="268"/>
      <c r="C1548" s="268"/>
      <c r="D1548" s="268"/>
      <c r="E1548" s="268"/>
      <c r="F1548" s="268"/>
      <c r="G1548" s="109" t="str">
        <f ca="1">IFERROR(__xludf.DUMMYFUNCTION("IF(I1730="""","""",FILTER(DATOS!$D$4:$D$237,DATOS!$B$4:$B$237=I1730))"),"06-063")</f>
        <v>06-063</v>
      </c>
      <c r="H1548" s="109" t="str">
        <f ca="1">IFERROR(__xludf.DUMMYFUNCTION("IF(I1730="""","""",FILTER(DATOS!$C$4:$C$237,DATOS!$B$4:$B$237=I1730))"),"TUNJUELITO")</f>
        <v>TUNJUELITO</v>
      </c>
      <c r="I1548" s="121" t="s">
        <v>87</v>
      </c>
      <c r="J1548" s="173" t="s">
        <v>597</v>
      </c>
      <c r="K1548" s="174">
        <v>3597463</v>
      </c>
      <c r="L1548" s="11"/>
    </row>
    <row r="1549" spans="1:12" ht="15.75" customHeight="1">
      <c r="A1549" s="265"/>
      <c r="B1549" s="268"/>
      <c r="C1549" s="268"/>
      <c r="D1549" s="268"/>
      <c r="E1549" s="268"/>
      <c r="F1549" s="268"/>
      <c r="G1549" s="109" t="str">
        <f ca="1">IFERROR(__xludf.DUMMYFUNCTION("IF(I1731="""","""",FILTER(DATOS!$D$4:$D$237,DATOS!$B$4:$B$237=I1731))"),"13-089")</f>
        <v>13-089</v>
      </c>
      <c r="H1549" s="109" t="str">
        <f ca="1">IFERROR(__xludf.DUMMYFUNCTION("IF(I1731="""","""",FILTER(DATOS!$C$4:$C$237,DATOS!$B$4:$B$237=I1731))"),"TEUSAQUILLO")</f>
        <v>TEUSAQUILLO</v>
      </c>
      <c r="I1549" s="121" t="s">
        <v>59</v>
      </c>
      <c r="J1549" s="173" t="s">
        <v>597</v>
      </c>
      <c r="K1549" s="174">
        <v>27207975</v>
      </c>
      <c r="L1549" s="11"/>
    </row>
    <row r="1550" spans="1:12" ht="15.75" customHeight="1">
      <c r="A1550" s="265"/>
      <c r="B1550" s="268"/>
      <c r="C1550" s="268"/>
      <c r="D1550" s="268"/>
      <c r="E1550" s="268"/>
      <c r="F1550" s="268"/>
      <c r="G1550" s="109" t="str">
        <f ca="1">IFERROR(__xludf.DUMMYFUNCTION("IF(I1732="""","""",FILTER(DATOS!$D$4:$D$237,DATOS!$B$4:$B$237=I1732))"),"04-127")</f>
        <v>04-127</v>
      </c>
      <c r="H1550" s="109" t="str">
        <f ca="1">IFERROR(__xludf.DUMMYFUNCTION("IF(I1732="""","""",FILTER(DATOS!$C$4:$C$237,DATOS!$B$4:$B$237=I1732))"),"SAN CRISTOBAL")</f>
        <v>SAN CRISTOBAL</v>
      </c>
      <c r="I1550" s="121" t="s">
        <v>124</v>
      </c>
      <c r="J1550" s="173" t="s">
        <v>597</v>
      </c>
      <c r="K1550" s="174">
        <v>660000</v>
      </c>
      <c r="L1550" s="11"/>
    </row>
    <row r="1551" spans="1:12" ht="15.75" customHeight="1">
      <c r="A1551" s="265"/>
      <c r="B1551" s="268"/>
      <c r="C1551" s="268"/>
      <c r="D1551" s="268"/>
      <c r="E1551" s="268"/>
      <c r="F1551" s="268"/>
      <c r="G1551" s="109" t="str">
        <f ca="1">IFERROR(__xludf.DUMMYFUNCTION("IF(I1733="""","""",FILTER(DATOS!$D$4:$D$237,DATOS!$B$4:$B$237=I1733))"),"09-111")</f>
        <v>09-111</v>
      </c>
      <c r="H1551" s="109" t="str">
        <f ca="1">IFERROR(__xludf.DUMMYFUNCTION("IF(I1733="""","""",FILTER(DATOS!$C$4:$C$237,DATOS!$B$4:$B$237=I1733))"),"FONTIBON")</f>
        <v>FONTIBON</v>
      </c>
      <c r="I1551" s="121" t="s">
        <v>57</v>
      </c>
      <c r="J1551" s="173" t="s">
        <v>597</v>
      </c>
      <c r="K1551" s="174">
        <v>1760000</v>
      </c>
      <c r="L1551" s="175" t="e">
        <f>+#REF!+#REF!+#REF!+#REF!+#REF!+#REF!+#REF!+#REF!+#REF!+#REF!+#REF!+#REF!</f>
        <v>#REF!</v>
      </c>
    </row>
    <row r="1552" spans="1:12" ht="15.75" customHeight="1">
      <c r="A1552" s="265"/>
      <c r="B1552" s="268"/>
      <c r="C1552" s="268"/>
      <c r="D1552" s="268"/>
      <c r="E1552" s="268"/>
      <c r="F1552" s="268"/>
      <c r="G1552" s="26" t="str">
        <f ca="1">IFERROR(__xludf.DUMMYFUNCTION("IF(I1861="""","""",FILTER(DATOS!$D$4:$D$237,DATOS!$B$4:$B$237=I1861))"),"18-207")</f>
        <v>18-207</v>
      </c>
      <c r="H1552" s="26" t="str">
        <f ca="1">IFERROR(__xludf.DUMMYFUNCTION("IF(I1861="""","""",FILTER(DATOS!$C$4:$C$237,DATOS!$B$4:$B$237=I1861))"),"RAFAEL URIBE")</f>
        <v>RAFAEL URIBE</v>
      </c>
      <c r="I1552" s="121" t="s">
        <v>93</v>
      </c>
      <c r="J1552" s="173" t="s">
        <v>597</v>
      </c>
      <c r="K1552" s="174">
        <v>660000</v>
      </c>
      <c r="L1552" s="11"/>
    </row>
    <row r="1553" spans="1:12" ht="22.5" customHeight="1" thickBot="1">
      <c r="A1553" s="266"/>
      <c r="B1553" s="269"/>
      <c r="C1553" s="269"/>
      <c r="D1553" s="269"/>
      <c r="E1553" s="269"/>
      <c r="F1553" s="269"/>
      <c r="G1553" s="176" t="s">
        <v>598</v>
      </c>
      <c r="H1553" s="176" t="s">
        <v>163</v>
      </c>
      <c r="I1553" s="177" t="s">
        <v>71</v>
      </c>
      <c r="J1553" s="178" t="s">
        <v>597</v>
      </c>
      <c r="K1553" s="179">
        <v>2854280</v>
      </c>
      <c r="L1553" s="11"/>
    </row>
    <row r="1554" spans="1:12" ht="15.75" customHeight="1">
      <c r="A1554" s="218" t="s">
        <v>599</v>
      </c>
      <c r="B1554" s="219" t="s">
        <v>600</v>
      </c>
      <c r="C1554" s="219" t="s">
        <v>538</v>
      </c>
      <c r="D1554" s="262">
        <v>45593</v>
      </c>
      <c r="E1554" s="263">
        <v>45835</v>
      </c>
      <c r="F1554" s="219">
        <v>17.510000000000002</v>
      </c>
      <c r="G1554" s="71" t="str">
        <f ca="1">IFERROR(__xludf.DUMMYFUNCTION("IF(I1735="""","""",FILTER(DATOS!$D$4:$D$237,DATOS!$B$4:$B$237=I1735))"),"13-089")</f>
        <v>13-089</v>
      </c>
      <c r="H1554" s="71" t="str">
        <f ca="1">IFERROR(__xludf.DUMMYFUNCTION("IF(I1735="""","""",FILTER(DATOS!$C$4:$C$237,DATOS!$B$4:$B$237=I1735))"),"TEUSAQUILLO")</f>
        <v>TEUSAQUILLO</v>
      </c>
      <c r="I1554" s="39" t="s">
        <v>59</v>
      </c>
      <c r="J1554" s="82" t="s">
        <v>539</v>
      </c>
      <c r="K1554" s="180">
        <v>95644551.359999999</v>
      </c>
      <c r="L1554" s="11">
        <v>1981459429</v>
      </c>
    </row>
    <row r="1555" spans="1:12" ht="15.75" customHeight="1">
      <c r="A1555" s="214"/>
      <c r="B1555" s="197"/>
      <c r="C1555" s="197"/>
      <c r="D1555" s="197"/>
      <c r="E1555" s="197"/>
      <c r="F1555" s="197"/>
      <c r="G1555" s="26" t="str">
        <f ca="1">IFERROR(__xludf.DUMMYFUNCTION("IF(I1736="""","""",FILTER(DATOS!$D$4:$D$237,DATOS!$B$4:$B$237=I1736))"),"08-219")</f>
        <v>08-219</v>
      </c>
      <c r="H1555" s="26" t="str">
        <f ca="1">IFERROR(__xludf.DUMMYFUNCTION("IF(I1736="""","""",FILTER(DATOS!$C$4:$C$237,DATOS!$B$4:$B$237=I1736))"),"KENNEDY")</f>
        <v>KENNEDY</v>
      </c>
      <c r="I1555" s="96" t="s">
        <v>132</v>
      </c>
      <c r="J1555" s="169" t="s">
        <v>539</v>
      </c>
      <c r="K1555" s="30">
        <v>29387038.399999999</v>
      </c>
      <c r="L1555" s="11"/>
    </row>
    <row r="1556" spans="1:12" ht="15.75" customHeight="1">
      <c r="A1556" s="214"/>
      <c r="B1556" s="197"/>
      <c r="C1556" s="197"/>
      <c r="D1556" s="197"/>
      <c r="E1556" s="197"/>
      <c r="F1556" s="197"/>
      <c r="G1556" s="26" t="str">
        <f ca="1">IFERROR(__xludf.DUMMYFUNCTION("IF(I1737="""","""",FILTER(DATOS!$D$4:$D$237,DATOS!$B$4:$B$237=I1737))"),"10-311")</f>
        <v>10-311</v>
      </c>
      <c r="H1556" s="26" t="str">
        <f ca="1">IFERROR(__xludf.DUMMYFUNCTION("IF(I1737="""","""",FILTER(DATOS!$C$4:$C$237,DATOS!$B$4:$B$237=I1737))"),"ENGATIVA")</f>
        <v>ENGATIVA</v>
      </c>
      <c r="I1556" s="96" t="s">
        <v>38</v>
      </c>
      <c r="J1556" s="169" t="s">
        <v>539</v>
      </c>
      <c r="K1556" s="30">
        <v>29234262.399999999</v>
      </c>
      <c r="L1556" s="11"/>
    </row>
    <row r="1557" spans="1:12" ht="15.75" customHeight="1">
      <c r="A1557" s="214"/>
      <c r="B1557" s="197"/>
      <c r="C1557" s="197"/>
      <c r="D1557" s="197"/>
      <c r="E1557" s="197"/>
      <c r="F1557" s="197"/>
      <c r="G1557" s="26" t="str">
        <f ca="1">IFERROR(__xludf.DUMMYFUNCTION("IF(I1738="""","""",FILTER(DATOS!$D$4:$D$237,DATOS!$B$4:$B$237=I1738))"),"12-092")</f>
        <v>12-092</v>
      </c>
      <c r="H1557" s="26" t="str">
        <f ca="1">IFERROR(__xludf.DUMMYFUNCTION("IF(I1738="""","""",FILTER(DATOS!$C$4:$C$237,DATOS!$B$4:$B$237=I1738))"),"BARRIOS UNIDOS")</f>
        <v>BARRIOS UNIDOS</v>
      </c>
      <c r="I1557" s="96" t="s">
        <v>31</v>
      </c>
      <c r="J1557" s="169" t="s">
        <v>539</v>
      </c>
      <c r="K1557" s="30">
        <v>32707102.16</v>
      </c>
      <c r="L1557" s="11"/>
    </row>
    <row r="1558" spans="1:12" ht="15.75" customHeight="1">
      <c r="A1558" s="214"/>
      <c r="B1558" s="197"/>
      <c r="C1558" s="197"/>
      <c r="D1558" s="197"/>
      <c r="E1558" s="197"/>
      <c r="F1558" s="197"/>
      <c r="G1558" s="26" t="str">
        <f ca="1">IFERROR(__xludf.DUMMYFUNCTION("IF(I1739="""","""",FILTER(DATOS!$D$4:$D$237,DATOS!$B$4:$B$237=I1739))"),"12-141")</f>
        <v>12-141</v>
      </c>
      <c r="H1558" s="26" t="str">
        <f ca="1">IFERROR(__xludf.DUMMYFUNCTION("IF(I1739="""","""",FILTER(DATOS!$C$4:$C$237,DATOS!$B$4:$B$237=I1739))"),"BARRIOS UNIDOS")</f>
        <v>BARRIOS UNIDOS</v>
      </c>
      <c r="I1558" s="39" t="s">
        <v>48</v>
      </c>
      <c r="J1558" s="169" t="s">
        <v>539</v>
      </c>
      <c r="K1558" s="30">
        <v>16565649.120000001</v>
      </c>
      <c r="L1558" s="11"/>
    </row>
    <row r="1559" spans="1:12" ht="15.75" customHeight="1">
      <c r="A1559" s="214"/>
      <c r="B1559" s="197"/>
      <c r="C1559" s="197"/>
      <c r="D1559" s="197"/>
      <c r="E1559" s="197"/>
      <c r="F1559" s="197"/>
      <c r="G1559" s="26" t="str">
        <f ca="1">IFERROR(__xludf.DUMMYFUNCTION("IF(I1740="""","""",FILTER(DATOS!$D$4:$D$237,DATOS!$B$4:$B$237=I1740))"),"03-035")</f>
        <v>03-035</v>
      </c>
      <c r="H1559" s="26" t="str">
        <f ca="1">IFERROR(__xludf.DUMMYFUNCTION("IF(I1740="""","""",FILTER(DATOS!$C$4:$C$237,DATOS!$B$4:$B$237=I1740))"),"SANTAFE")</f>
        <v>SANTAFE</v>
      </c>
      <c r="I1559" s="96" t="s">
        <v>46</v>
      </c>
      <c r="J1559" s="169" t="s">
        <v>539</v>
      </c>
      <c r="K1559" s="30">
        <v>11724762.960000001</v>
      </c>
      <c r="L1559" s="11"/>
    </row>
    <row r="1560" spans="1:12" ht="15.75" customHeight="1">
      <c r="A1560" s="214"/>
      <c r="B1560" s="197"/>
      <c r="C1560" s="197"/>
      <c r="D1560" s="197"/>
      <c r="E1560" s="197"/>
      <c r="F1560" s="197"/>
      <c r="G1560" s="26" t="str">
        <f ca="1">IFERROR(__xludf.DUMMYFUNCTION("IF(I1741="""","""",FILTER(DATOS!$D$4:$D$237,DATOS!$B$4:$B$237=I1741))"),"02-019")</f>
        <v>02-019</v>
      </c>
      <c r="H1560" s="26" t="str">
        <f ca="1">IFERROR(__xludf.DUMMYFUNCTION("IF(I1741="""","""",FILTER(DATOS!$C$4:$C$237,DATOS!$B$4:$B$237=I1741))"),"CHAPINERO")</f>
        <v>CHAPINERO</v>
      </c>
      <c r="I1560" s="96" t="s">
        <v>219</v>
      </c>
      <c r="J1560" s="169" t="s">
        <v>539</v>
      </c>
      <c r="K1560" s="30">
        <v>9930702.9600000009</v>
      </c>
      <c r="L1560" s="11"/>
    </row>
    <row r="1561" spans="1:12" ht="15.75" customHeight="1">
      <c r="A1561" s="214"/>
      <c r="B1561" s="197"/>
      <c r="C1561" s="197"/>
      <c r="D1561" s="197"/>
      <c r="E1561" s="197"/>
      <c r="F1561" s="197"/>
      <c r="G1561" s="26" t="str">
        <f ca="1">IFERROR(__xludf.DUMMYFUNCTION("IF(I1742="""","""",FILTER(DATOS!$D$4:$D$237,DATOS!$B$4:$B$237=I1742))"),"08-554")</f>
        <v>08-554</v>
      </c>
      <c r="H1561" s="26" t="str">
        <f ca="1">IFERROR(__xludf.DUMMYFUNCTION("IF(I1742="""","""",FILTER(DATOS!$C$4:$C$237,DATOS!$B$4:$B$237=I1742))"),"KENNEDY")</f>
        <v>KENNEDY</v>
      </c>
      <c r="I1561" s="96" t="s">
        <v>90</v>
      </c>
      <c r="J1561" s="169" t="s">
        <v>539</v>
      </c>
      <c r="K1561" s="30">
        <v>10365295.84</v>
      </c>
      <c r="L1561" s="11"/>
    </row>
    <row r="1562" spans="1:12" ht="15.75" customHeight="1">
      <c r="A1562" s="214"/>
      <c r="B1562" s="197"/>
      <c r="C1562" s="197"/>
      <c r="D1562" s="197"/>
      <c r="E1562" s="197"/>
      <c r="F1562" s="197"/>
      <c r="G1562" s="26" t="str">
        <f ca="1">IFERROR(__xludf.DUMMYFUNCTION("IF(I1743="""","""",FILTER(DATOS!$D$4:$D$237,DATOS!$B$4:$B$237=I1743))"),"14-036")</f>
        <v>14-036</v>
      </c>
      <c r="H1562" s="26" t="str">
        <f ca="1">IFERROR(__xludf.DUMMYFUNCTION("IF(I1743="""","""",FILTER(DATOS!$C$4:$C$237,DATOS!$B$4:$B$237=I1743))"),"MARTIRES")</f>
        <v>MARTIRES</v>
      </c>
      <c r="I1562" s="96" t="s">
        <v>55</v>
      </c>
      <c r="J1562" s="169" t="s">
        <v>539</v>
      </c>
      <c r="K1562" s="30">
        <v>11992966.48</v>
      </c>
      <c r="L1562" s="11"/>
    </row>
    <row r="1563" spans="1:12" ht="15.75" customHeight="1">
      <c r="A1563" s="214"/>
      <c r="B1563" s="197"/>
      <c r="C1563" s="197"/>
      <c r="D1563" s="197"/>
      <c r="E1563" s="197"/>
      <c r="F1563" s="197"/>
      <c r="G1563" s="26" t="str">
        <f ca="1">IFERROR(__xludf.DUMMYFUNCTION("IF(I1744="""","""",FILTER(DATOS!$D$4:$D$237,DATOS!$B$4:$B$237=I1744))"),"16-112")</f>
        <v>16-112</v>
      </c>
      <c r="H1563" s="26" t="str">
        <f ca="1">IFERROR(__xludf.DUMMYFUNCTION("IF(I1744="""","""",FILTER(DATOS!$C$4:$C$237,DATOS!$B$4:$B$237=I1744))"),"PUENTE ARANDA")</f>
        <v>PUENTE ARANDA</v>
      </c>
      <c r="I1563" s="96" t="s">
        <v>79</v>
      </c>
      <c r="J1563" s="169" t="s">
        <v>539</v>
      </c>
      <c r="K1563" s="30">
        <v>12604745.440000001</v>
      </c>
      <c r="L1563" s="11"/>
    </row>
    <row r="1564" spans="1:12" ht="15.75" customHeight="1">
      <c r="A1564" s="214"/>
      <c r="B1564" s="197"/>
      <c r="C1564" s="197"/>
      <c r="D1564" s="197"/>
      <c r="E1564" s="197"/>
      <c r="F1564" s="197"/>
      <c r="G1564" s="26" t="str">
        <f ca="1">IFERROR(__xludf.DUMMYFUNCTION("IF(I1745="""","""",FILTER(DATOS!$D$4:$D$237,DATOS!$B$4:$B$237=I1745))"),"13-088")</f>
        <v>13-088</v>
      </c>
      <c r="H1564" s="26" t="str">
        <f ca="1">IFERROR(__xludf.DUMMYFUNCTION("IF(I1745="""","""",FILTER(DATOS!$C$4:$C$237,DATOS!$B$4:$B$237=I1745))"),"TEUSAQUILLO")</f>
        <v>TEUSAQUILLO</v>
      </c>
      <c r="I1564" s="96" t="s">
        <v>66</v>
      </c>
      <c r="J1564" s="169" t="s">
        <v>539</v>
      </c>
      <c r="K1564" s="30">
        <v>31504481.280000001</v>
      </c>
      <c r="L1564" s="11"/>
    </row>
    <row r="1565" spans="1:12" ht="15.75" customHeight="1">
      <c r="A1565" s="214"/>
      <c r="B1565" s="197"/>
      <c r="C1565" s="197"/>
      <c r="D1565" s="197"/>
      <c r="E1565" s="197"/>
      <c r="F1565" s="197"/>
      <c r="G1565" s="26" t="str">
        <f ca="1">IFERROR(__xludf.DUMMYFUNCTION("IF(I1746="""","""",FILTER(DATOS!$D$4:$D$237,DATOS!$B$4:$B$237=I1746))"),"06-063")</f>
        <v>06-063</v>
      </c>
      <c r="H1565" s="26" t="str">
        <f ca="1">IFERROR(__xludf.DUMMYFUNCTION("IF(I1746="""","""",FILTER(DATOS!$C$4:$C$237,DATOS!$B$4:$B$237=I1746))"),"TUNJUELITO")</f>
        <v>TUNJUELITO</v>
      </c>
      <c r="I1565" s="96" t="s">
        <v>87</v>
      </c>
      <c r="J1565" s="169" t="s">
        <v>539</v>
      </c>
      <c r="K1565" s="30">
        <v>13311169.199999999</v>
      </c>
      <c r="L1565" s="11"/>
    </row>
    <row r="1566" spans="1:12" ht="15.75" customHeight="1">
      <c r="A1566" s="214"/>
      <c r="B1566" s="197"/>
      <c r="C1566" s="197"/>
      <c r="D1566" s="197"/>
      <c r="E1566" s="197"/>
      <c r="F1566" s="197"/>
      <c r="G1566" s="26" t="str">
        <f ca="1">IFERROR(__xludf.DUMMYFUNCTION("IF(I1747="""","""",FILTER(DATOS!$D$4:$D$237,DATOS!$B$4:$B$237=I1747))"),"03-085")</f>
        <v>03-085</v>
      </c>
      <c r="H1566" s="26" t="str">
        <f ca="1">IFERROR(__xludf.DUMMYFUNCTION("IF(I1747="""","""",FILTER(DATOS!$C$4:$C$237,DATOS!$B$4:$B$237=I1747))"),"SANTAFE")</f>
        <v>SANTAFE</v>
      </c>
      <c r="I1566" s="96" t="s">
        <v>129</v>
      </c>
      <c r="J1566" s="169" t="s">
        <v>539</v>
      </c>
      <c r="K1566" s="30">
        <v>10105473.280000001</v>
      </c>
      <c r="L1566" s="11"/>
    </row>
    <row r="1567" spans="1:12" ht="15.75" customHeight="1">
      <c r="A1567" s="214"/>
      <c r="B1567" s="197"/>
      <c r="C1567" s="197"/>
      <c r="D1567" s="197"/>
      <c r="E1567" s="197"/>
      <c r="F1567" s="197"/>
      <c r="G1567" s="26" t="str">
        <f ca="1">IFERROR(__xludf.DUMMYFUNCTION("IF(I1748="""","""",FILTER(DATOS!$D$4:$D$237,DATOS!$B$4:$B$237=I1748))"),"05-087")</f>
        <v>05-087</v>
      </c>
      <c r="H1567" s="26" t="str">
        <f ca="1">IFERROR(__xludf.DUMMYFUNCTION("IF(I1748="""","""",FILTER(DATOS!$C$4:$C$237,DATOS!$B$4:$B$237=I1748))"),"USME")</f>
        <v>USME</v>
      </c>
      <c r="I1567" s="96" t="s">
        <v>135</v>
      </c>
      <c r="J1567" s="169" t="s">
        <v>539</v>
      </c>
      <c r="K1567" s="30">
        <v>9847920.8000000007</v>
      </c>
      <c r="L1567" s="11"/>
    </row>
    <row r="1568" spans="1:12" ht="15.75" customHeight="1">
      <c r="A1568" s="214"/>
      <c r="B1568" s="197"/>
      <c r="C1568" s="197"/>
      <c r="D1568" s="197"/>
      <c r="E1568" s="197"/>
      <c r="F1568" s="197"/>
      <c r="G1568" s="26" t="str">
        <f ca="1">IFERROR(__xludf.DUMMYFUNCTION("IF(I1749="""","""",FILTER(DATOS!$D$4:$D$237,DATOS!$B$4:$B$237=I1749))"),"12-110")</f>
        <v>12-110</v>
      </c>
      <c r="H1568" s="26" t="str">
        <f ca="1">IFERROR(__xludf.DUMMYFUNCTION("IF(I1749="""","""",FILTER(DATOS!$C$4:$C$237,DATOS!$B$4:$B$237=I1749))"),"BARRIOS UNIDOS")</f>
        <v>BARRIOS UNIDOS</v>
      </c>
      <c r="I1568" s="96" t="s">
        <v>120</v>
      </c>
      <c r="J1568" s="169" t="s">
        <v>539</v>
      </c>
      <c r="K1568" s="30">
        <v>10377483.359999999</v>
      </c>
      <c r="L1568" s="11"/>
    </row>
    <row r="1569" spans="1:12" ht="15.75" customHeight="1" thickBot="1">
      <c r="A1569" s="214"/>
      <c r="B1569" s="197"/>
      <c r="C1569" s="197"/>
      <c r="D1569" s="197"/>
      <c r="E1569" s="197"/>
      <c r="F1569" s="197"/>
      <c r="G1569" s="26" t="str">
        <f ca="1">IFERROR(__xludf.DUMMYFUNCTION("IF(I1750="""","""",FILTER(DATOS!$D$4:$D$237,DATOS!$B$4:$B$237=I1750))"),"16-221")</f>
        <v>16-221</v>
      </c>
      <c r="H1569" s="26" t="str">
        <f ca="1">IFERROR(__xludf.DUMMYFUNCTION("IF(I1750="""","""",FILTER(DATOS!$C$4:$C$237,DATOS!$B$4:$B$237=I1750))"),"PUENTE ARANDA")</f>
        <v>PUENTE ARANDA</v>
      </c>
      <c r="I1569" s="96" t="s">
        <v>142</v>
      </c>
      <c r="J1569" s="169" t="s">
        <v>539</v>
      </c>
      <c r="K1569" s="30">
        <v>11561604.4</v>
      </c>
      <c r="L1569" s="11"/>
    </row>
    <row r="1570" spans="1:12" ht="24.75" customHeight="1">
      <c r="A1570" s="213" t="s">
        <v>601</v>
      </c>
      <c r="B1570" s="215" t="s">
        <v>602</v>
      </c>
      <c r="C1570" s="215" t="s">
        <v>603</v>
      </c>
      <c r="D1570" s="250">
        <v>45579</v>
      </c>
      <c r="E1570" s="250">
        <v>45790</v>
      </c>
      <c r="F1570" s="217">
        <v>0.18060000000000001</v>
      </c>
      <c r="G1570" s="21" t="str">
        <f ca="1">IFERROR(__xludf.DUMMYFUNCTION("IF(I1756="""","""",FILTER(DATOS!$D$4:$D$237,DATOS!$B$4:$B$237=I1756))"),"01-023")</f>
        <v>01-023</v>
      </c>
      <c r="H1570" s="21" t="str">
        <f ca="1">IFERROR(__xludf.DUMMYFUNCTION("IF(I1756="""","""",FILTER(DATOS!$C$4:$C$237,DATOS!$B$4:$B$237=I1756))"),"USAQUEN")</f>
        <v>USAQUEN</v>
      </c>
      <c r="I1570" s="77" t="s">
        <v>58</v>
      </c>
      <c r="J1570" s="77" t="s">
        <v>516</v>
      </c>
      <c r="K1570" s="25">
        <v>936593</v>
      </c>
      <c r="L1570" s="11">
        <v>584220013</v>
      </c>
    </row>
    <row r="1571" spans="1:12" ht="15.75" customHeight="1">
      <c r="A1571" s="214"/>
      <c r="B1571" s="197"/>
      <c r="C1571" s="197"/>
      <c r="D1571" s="228"/>
      <c r="E1571" s="228"/>
      <c r="F1571" s="197"/>
      <c r="G1571" s="26" t="str">
        <f ca="1">IFERROR(__xludf.DUMMYFUNCTION("IF(I1758="""","""",FILTER(DATOS!$D$4:$D$237,DATOS!$B$4:$B$237=I1758))"),"01-075")</f>
        <v>01-075</v>
      </c>
      <c r="H1571" s="26" t="str">
        <f ca="1">IFERROR(__xludf.DUMMYFUNCTION("IF(I1758="""","""",FILTER(DATOS!$C$4:$C$237,DATOS!$B$4:$B$237=I1758))"),"USAQUEN")</f>
        <v>USAQUEN</v>
      </c>
      <c r="I1571" s="36" t="s">
        <v>20</v>
      </c>
      <c r="J1571" s="36" t="s">
        <v>516</v>
      </c>
      <c r="K1571" s="30">
        <v>462088</v>
      </c>
      <c r="L1571" s="11"/>
    </row>
    <row r="1572" spans="1:12" ht="15.75" customHeight="1">
      <c r="A1572" s="214"/>
      <c r="B1572" s="197"/>
      <c r="C1572" s="197"/>
      <c r="D1572" s="228"/>
      <c r="E1572" s="228"/>
      <c r="F1572" s="197"/>
      <c r="G1572" s="32" t="str">
        <f ca="1">IFERROR(__xludf.DUMMYFUNCTION("IF(I1759="""","""",FILTER(DATOS!$D$4:$D$237,DATOS!$B$4:$B$237=I1759))"),"01-1000")</f>
        <v>01-1000</v>
      </c>
      <c r="H1572" s="32" t="str">
        <f ca="1">IFERROR(__xludf.DUMMYFUNCTION("IF(I1759="""","""",FILTER(DATOS!$C$4:$C$237,DATOS!$B$4:$B$237=I1759))"),"USAQUEN")</f>
        <v>USAQUEN</v>
      </c>
      <c r="I1572" s="36" t="s">
        <v>29</v>
      </c>
      <c r="J1572" s="36" t="s">
        <v>516</v>
      </c>
      <c r="K1572" s="30">
        <v>1364212</v>
      </c>
      <c r="L1572" s="11"/>
    </row>
    <row r="1573" spans="1:12" ht="15.75" customHeight="1">
      <c r="A1573" s="214"/>
      <c r="B1573" s="197"/>
      <c r="C1573" s="197"/>
      <c r="D1573" s="228"/>
      <c r="E1573" s="228"/>
      <c r="F1573" s="197"/>
      <c r="G1573" s="26" t="str">
        <f ca="1">IFERROR(__xludf.DUMMYFUNCTION("IF(I1762="""","""",FILTER(DATOS!$D$4:$D$237,DATOS!$B$4:$B$237=I1762))"),"03-035")</f>
        <v>03-035</v>
      </c>
      <c r="H1573" s="26" t="str">
        <f ca="1">IFERROR(__xludf.DUMMYFUNCTION("IF(I1762="""","""",FILTER(DATOS!$C$4:$C$237,DATOS!$B$4:$B$237=I1762))"),"SANTAFE")</f>
        <v>SANTAFE</v>
      </c>
      <c r="I1573" s="40" t="s">
        <v>46</v>
      </c>
      <c r="J1573" s="36" t="s">
        <v>516</v>
      </c>
      <c r="K1573" s="30">
        <v>2090649</v>
      </c>
      <c r="L1573" s="11"/>
    </row>
    <row r="1574" spans="1:12" ht="15.75" customHeight="1">
      <c r="A1574" s="214"/>
      <c r="B1574" s="197"/>
      <c r="C1574" s="197"/>
      <c r="D1574" s="228"/>
      <c r="E1574" s="228"/>
      <c r="F1574" s="197"/>
      <c r="G1574" s="26" t="str">
        <f ca="1">IFERROR(__xludf.DUMMYFUNCTION("IF(I1763="""","""",FILTER(DATOS!$D$4:$D$237,DATOS!$B$4:$B$237=I1763))"),"03-036")</f>
        <v>03-036</v>
      </c>
      <c r="H1574" s="26" t="str">
        <f ca="1">IFERROR(__xludf.DUMMYFUNCTION("IF(I1763="""","""",FILTER(DATOS!$C$4:$C$237,DATOS!$B$4:$B$237=I1763))"),"SANTAFE")</f>
        <v>SANTAFE</v>
      </c>
      <c r="I1574" s="36" t="s">
        <v>109</v>
      </c>
      <c r="J1574" s="36" t="s">
        <v>516</v>
      </c>
      <c r="K1574" s="30">
        <v>936593</v>
      </c>
      <c r="L1574" s="11"/>
    </row>
    <row r="1575" spans="1:12" ht="15.75" customHeight="1">
      <c r="A1575" s="214"/>
      <c r="B1575" s="197"/>
      <c r="C1575" s="197"/>
      <c r="D1575" s="228"/>
      <c r="E1575" s="228"/>
      <c r="F1575" s="197"/>
      <c r="G1575" s="26" t="str">
        <f ca="1">IFERROR(__xludf.DUMMYFUNCTION("IF(I1764="""","""",FILTER(DATOS!$D$4:$D$237,DATOS!$B$4:$B$237=I1764))"),"03-039")</f>
        <v>03-039</v>
      </c>
      <c r="H1575" s="26" t="str">
        <f ca="1">IFERROR(__xludf.DUMMYFUNCTION("IF(I1764="""","""",FILTER(DATOS!$C$4:$C$237,DATOS!$B$4:$B$237=I1764))"),"SANTAFE")</f>
        <v>SANTAFE</v>
      </c>
      <c r="I1575" s="36" t="s">
        <v>40</v>
      </c>
      <c r="J1575" s="36" t="s">
        <v>516</v>
      </c>
      <c r="K1575" s="30">
        <v>936593</v>
      </c>
      <c r="L1575" s="11"/>
    </row>
    <row r="1576" spans="1:12" ht="15.75" customHeight="1">
      <c r="A1576" s="214"/>
      <c r="B1576" s="197"/>
      <c r="C1576" s="197"/>
      <c r="D1576" s="228"/>
      <c r="E1576" s="228"/>
      <c r="F1576" s="197"/>
      <c r="G1576" s="26" t="str">
        <f ca="1">IFERROR(__xludf.DUMMYFUNCTION("IF(I1765="""","""",FILTER(DATOS!$D$4:$D$237,DATOS!$B$4:$B$237=I1765))"),"03-085")</f>
        <v>03-085</v>
      </c>
      <c r="H1576" s="26" t="str">
        <f ca="1">IFERROR(__xludf.DUMMYFUNCTION("IF(I1765="""","""",FILTER(DATOS!$C$4:$C$237,DATOS!$B$4:$B$237=I1765))"),"SANTAFE")</f>
        <v>SANTAFE</v>
      </c>
      <c r="I1576" s="36" t="s">
        <v>129</v>
      </c>
      <c r="J1576" s="36" t="s">
        <v>516</v>
      </c>
      <c r="K1576" s="30">
        <v>2090649</v>
      </c>
      <c r="L1576" s="11"/>
    </row>
    <row r="1577" spans="1:12" ht="24.75" customHeight="1">
      <c r="A1577" s="214"/>
      <c r="B1577" s="197"/>
      <c r="C1577" s="197"/>
      <c r="D1577" s="228"/>
      <c r="E1577" s="228"/>
      <c r="F1577" s="197"/>
      <c r="G1577" s="26" t="str">
        <f ca="1">IFERROR(__xludf.DUMMYFUNCTION("IF(I1766="""","""",FILTER(DATOS!$D$4:$D$237,DATOS!$B$4:$B$237=I1766))"),"03-093")</f>
        <v>03-093</v>
      </c>
      <c r="H1577" s="26" t="str">
        <f ca="1">IFERROR(__xludf.DUMMYFUNCTION("IF(I1766="""","""",FILTER(DATOS!$C$4:$C$237,DATOS!$B$4:$B$237=I1766))"),"SANTAFE")</f>
        <v>SANTAFE</v>
      </c>
      <c r="I1577" s="36" t="s">
        <v>51</v>
      </c>
      <c r="J1577" s="36" t="s">
        <v>516</v>
      </c>
      <c r="K1577" s="30">
        <v>2045560</v>
      </c>
      <c r="L1577" s="11"/>
    </row>
    <row r="1578" spans="1:12" ht="24.75" customHeight="1">
      <c r="A1578" s="214"/>
      <c r="B1578" s="197"/>
      <c r="C1578" s="197"/>
      <c r="D1578" s="228"/>
      <c r="E1578" s="228"/>
      <c r="F1578" s="197"/>
      <c r="G1578" s="26" t="str">
        <f ca="1">IFERROR(__xludf.DUMMYFUNCTION("IF(I1768="""","""",FILTER(DATOS!$D$4:$D$237,DATOS!$B$4:$B$237=I1768))"),"04-075")</f>
        <v>04-075</v>
      </c>
      <c r="H1578" s="26" t="str">
        <f ca="1">IFERROR(__xludf.DUMMYFUNCTION("IF(I1768="""","""",FILTER(DATOS!$C$4:$C$237,DATOS!$B$4:$B$237=I1768))"),"SAN CRISTOBAL")</f>
        <v>SAN CRISTOBAL</v>
      </c>
      <c r="I1578" s="36" t="s">
        <v>136</v>
      </c>
      <c r="J1578" s="36" t="s">
        <v>516</v>
      </c>
      <c r="K1578" s="30">
        <v>1873186</v>
      </c>
      <c r="L1578" s="11"/>
    </row>
    <row r="1579" spans="1:12" ht="24.75" customHeight="1">
      <c r="A1579" s="214"/>
      <c r="B1579" s="197"/>
      <c r="C1579" s="197"/>
      <c r="D1579" s="228"/>
      <c r="E1579" s="228"/>
      <c r="F1579" s="197"/>
      <c r="G1579" s="26" t="str">
        <f ca="1">IFERROR(__xludf.DUMMYFUNCTION("IF(I1769="""","""",FILTER(DATOS!$D$4:$D$237,DATOS!$B$4:$B$237=I1769))"),"04-103")</f>
        <v>04-103</v>
      </c>
      <c r="H1579" s="26" t="str">
        <f ca="1">IFERROR(__xludf.DUMMYFUNCTION("IF(I1769="""","""",FILTER(DATOS!$C$4:$C$237,DATOS!$B$4:$B$237=I1769))"),"SAN CRISTOBAL")</f>
        <v>SAN CRISTOBAL</v>
      </c>
      <c r="I1579" s="144" t="s">
        <v>95</v>
      </c>
      <c r="J1579" s="36" t="s">
        <v>516</v>
      </c>
      <c r="K1579" s="30">
        <v>1873186</v>
      </c>
      <c r="L1579" s="11"/>
    </row>
    <row r="1580" spans="1:12" ht="24.75" customHeight="1">
      <c r="A1580" s="214"/>
      <c r="B1580" s="197"/>
      <c r="C1580" s="197"/>
      <c r="D1580" s="228"/>
      <c r="E1580" s="228"/>
      <c r="F1580" s="197"/>
      <c r="G1580" s="26" t="str">
        <f ca="1">IFERROR(__xludf.DUMMYFUNCTION("IF(I1770="""","""",FILTER(DATOS!$D$4:$D$237,DATOS!$B$4:$B$237=I1770))"),"04-122")</f>
        <v>04-122</v>
      </c>
      <c r="H1580" s="26" t="str">
        <f ca="1">IFERROR(__xludf.DUMMYFUNCTION("IF(I1770="""","""",FILTER(DATOS!$C$4:$C$237,DATOS!$B$4:$B$237=I1770))"),"SAN CRISTOBAL")</f>
        <v>SAN CRISTOBAL</v>
      </c>
      <c r="I1580" s="36" t="s">
        <v>108</v>
      </c>
      <c r="J1580" s="36" t="s">
        <v>516</v>
      </c>
      <c r="K1580" s="30">
        <v>2728424</v>
      </c>
      <c r="L1580" s="11"/>
    </row>
    <row r="1581" spans="1:12" ht="15.75" customHeight="1">
      <c r="A1581" s="214"/>
      <c r="B1581" s="197"/>
      <c r="C1581" s="197"/>
      <c r="D1581" s="228"/>
      <c r="E1581" s="228"/>
      <c r="F1581" s="197"/>
      <c r="G1581" s="26" t="str">
        <f ca="1">IFERROR(__xludf.DUMMYFUNCTION("IF(I1771="""","""",FILTER(DATOS!$D$4:$D$237,DATOS!$B$4:$B$237=I1771))"),"04-127")</f>
        <v>04-127</v>
      </c>
      <c r="H1581" s="26" t="str">
        <f ca="1">IFERROR(__xludf.DUMMYFUNCTION("IF(I1771="""","""",FILTER(DATOS!$C$4:$C$237,DATOS!$B$4:$B$237=I1771))"),"SAN CRISTOBAL")</f>
        <v>SAN CRISTOBAL</v>
      </c>
      <c r="I1581" s="36" t="s">
        <v>123</v>
      </c>
      <c r="J1581" s="36" t="s">
        <v>516</v>
      </c>
      <c r="K1581" s="30">
        <v>1364212</v>
      </c>
      <c r="L1581" s="11"/>
    </row>
    <row r="1582" spans="1:12" ht="24.75" customHeight="1">
      <c r="A1582" s="214"/>
      <c r="B1582" s="197"/>
      <c r="C1582" s="197"/>
      <c r="D1582" s="228"/>
      <c r="E1582" s="228"/>
      <c r="F1582" s="197"/>
      <c r="G1582" s="26" t="str">
        <f ca="1">IFERROR(__xludf.DUMMYFUNCTION("IF(I1772="""","""",FILTER(DATOS!$D$4:$D$237,DATOS!$B$4:$B$237=I1772))"),"04-127")</f>
        <v>04-127</v>
      </c>
      <c r="H1582" s="26" t="str">
        <f ca="1">IFERROR(__xludf.DUMMYFUNCTION("IF(I1772="""","""",FILTER(DATOS!$C$4:$C$237,DATOS!$B$4:$B$237=I1772))"),"SAN CRISTOBAL")</f>
        <v>SAN CRISTOBAL</v>
      </c>
      <c r="I1582" s="36" t="s">
        <v>124</v>
      </c>
      <c r="J1582" s="36" t="s">
        <v>516</v>
      </c>
      <c r="K1582" s="30">
        <v>3311801</v>
      </c>
      <c r="L1582" s="11"/>
    </row>
    <row r="1583" spans="1:12" ht="24.75" customHeight="1">
      <c r="A1583" s="214"/>
      <c r="B1583" s="197"/>
      <c r="C1583" s="197"/>
      <c r="D1583" s="228"/>
      <c r="E1583" s="228"/>
      <c r="F1583" s="197"/>
      <c r="G1583" s="26" t="str">
        <f ca="1">IFERROR(__xludf.DUMMYFUNCTION("IF(I1773="""","""",FILTER(DATOS!$D$4:$D$237,DATOS!$B$4:$B$237=I1773))"),"04-196")</f>
        <v>04-196</v>
      </c>
      <c r="H1583" s="26" t="str">
        <f ca="1">IFERROR(__xludf.DUMMYFUNCTION("IF(I1773="""","""",FILTER(DATOS!$C$4:$C$237,DATOS!$B$4:$B$237=I1773))"),"SAN CRISTOBAL")</f>
        <v>SAN CRISTOBAL</v>
      </c>
      <c r="I1583" s="36" t="s">
        <v>134</v>
      </c>
      <c r="J1583" s="36" t="s">
        <v>516</v>
      </c>
      <c r="K1583" s="30">
        <v>2155948</v>
      </c>
      <c r="L1583" s="11"/>
    </row>
    <row r="1584" spans="1:12" ht="15.75" customHeight="1">
      <c r="A1584" s="214"/>
      <c r="B1584" s="197"/>
      <c r="C1584" s="197"/>
      <c r="D1584" s="228"/>
      <c r="E1584" s="228"/>
      <c r="F1584" s="197"/>
      <c r="G1584" s="26" t="str">
        <f ca="1">IFERROR(__xludf.DUMMYFUNCTION("IF(I1774="""","""",FILTER(DATOS!$D$4:$D$237,DATOS!$B$4:$B$237=I1774))"),"05-002")</f>
        <v>05-002</v>
      </c>
      <c r="H1584" s="26" t="str">
        <f ca="1">IFERROR(__xludf.DUMMYFUNCTION("IF(I1774="""","""",FILTER(DATOS!$C$4:$C$237,DATOS!$B$4:$B$237=I1774))"),"USME")</f>
        <v>USME</v>
      </c>
      <c r="I1584" s="36" t="s">
        <v>102</v>
      </c>
      <c r="J1584" s="36" t="s">
        <v>516</v>
      </c>
      <c r="K1584" s="30">
        <v>936593</v>
      </c>
      <c r="L1584" s="11"/>
    </row>
    <row r="1585" spans="1:12" ht="24.75" customHeight="1">
      <c r="A1585" s="214"/>
      <c r="B1585" s="197"/>
      <c r="C1585" s="197"/>
      <c r="D1585" s="228"/>
      <c r="E1585" s="228"/>
      <c r="F1585" s="197"/>
      <c r="G1585" s="26" t="str">
        <f ca="1">IFERROR(__xludf.DUMMYFUNCTION("IF(I1775="""","""",FILTER(DATOS!$D$4:$D$237,DATOS!$B$4:$B$237=I1775))"),"05-003")</f>
        <v>05-003</v>
      </c>
      <c r="H1585" s="26" t="str">
        <f ca="1">IFERROR(__xludf.DUMMYFUNCTION("IF(I1775="""","""",FILTER(DATOS!$C$4:$C$237,DATOS!$B$4:$B$237=I1775))"),"USME")</f>
        <v>USME</v>
      </c>
      <c r="I1585" s="36" t="s">
        <v>133</v>
      </c>
      <c r="J1585" s="36" t="s">
        <v>516</v>
      </c>
      <c r="K1585" s="30">
        <v>1873186</v>
      </c>
      <c r="L1585" s="11"/>
    </row>
    <row r="1586" spans="1:12" ht="15.75" customHeight="1">
      <c r="A1586" s="214"/>
      <c r="B1586" s="197"/>
      <c r="C1586" s="197"/>
      <c r="D1586" s="228"/>
      <c r="E1586" s="228"/>
      <c r="F1586" s="197"/>
      <c r="G1586" s="26" t="str">
        <f ca="1">IFERROR(__xludf.DUMMYFUNCTION("IF(I1776="""","""",FILTER(DATOS!$D$4:$D$237,DATOS!$B$4:$B$237=I1776))"),"05-004")</f>
        <v>05-004</v>
      </c>
      <c r="H1586" s="26" t="str">
        <f ca="1">IFERROR(__xludf.DUMMYFUNCTION("IF(I1776="""","""",FILTER(DATOS!$C$4:$C$237,DATOS!$B$4:$B$237=I1776))"),"USME")</f>
        <v>USME</v>
      </c>
      <c r="I1586" s="36" t="s">
        <v>101</v>
      </c>
      <c r="J1586" s="36" t="s">
        <v>516</v>
      </c>
      <c r="K1586" s="30">
        <v>462088</v>
      </c>
      <c r="L1586" s="11"/>
    </row>
    <row r="1587" spans="1:12" ht="24.75" customHeight="1">
      <c r="A1587" s="214"/>
      <c r="B1587" s="197"/>
      <c r="C1587" s="197"/>
      <c r="D1587" s="228"/>
      <c r="E1587" s="228"/>
      <c r="F1587" s="197"/>
      <c r="G1587" s="26" t="str">
        <f ca="1">IFERROR(__xludf.DUMMYFUNCTION("IF(I1777="""","""",FILTER(DATOS!$D$4:$D$237,DATOS!$B$4:$B$237=I1777))"),"05-016")</f>
        <v>05-016</v>
      </c>
      <c r="H1587" s="26" t="str">
        <f ca="1">IFERROR(__xludf.DUMMYFUNCTION("IF(I1777="""","""",FILTER(DATOS!$C$4:$C$237,DATOS!$B$4:$B$237=I1777))"),"USME")</f>
        <v>USME</v>
      </c>
      <c r="I1587" s="36" t="s">
        <v>89</v>
      </c>
      <c r="J1587" s="36" t="s">
        <v>516</v>
      </c>
      <c r="K1587" s="30">
        <v>1873186</v>
      </c>
      <c r="L1587" s="11"/>
    </row>
    <row r="1588" spans="1:12" ht="24.75" customHeight="1">
      <c r="A1588" s="214"/>
      <c r="B1588" s="197"/>
      <c r="C1588" s="197"/>
      <c r="D1588" s="228"/>
      <c r="E1588" s="228"/>
      <c r="F1588" s="197"/>
      <c r="G1588" s="26" t="str">
        <f ca="1">IFERROR(__xludf.DUMMYFUNCTION("IF(I1778="""","""",FILTER(DATOS!$D$4:$D$237,DATOS!$B$4:$B$237=I1778))"),"05-087")</f>
        <v>05-087</v>
      </c>
      <c r="H1588" s="26" t="str">
        <f ca="1">IFERROR(__xludf.DUMMYFUNCTION("IF(I1778="""","""",FILTER(DATOS!$C$4:$C$237,DATOS!$B$4:$B$237=I1778))"),"USME")</f>
        <v>USME</v>
      </c>
      <c r="I1588" s="36" t="s">
        <v>135</v>
      </c>
      <c r="J1588" s="36" t="s">
        <v>516</v>
      </c>
      <c r="K1588" s="30">
        <v>2728424</v>
      </c>
      <c r="L1588" s="11"/>
    </row>
    <row r="1589" spans="1:12" ht="15.75" customHeight="1">
      <c r="A1589" s="214"/>
      <c r="B1589" s="197"/>
      <c r="C1589" s="197"/>
      <c r="D1589" s="228"/>
      <c r="E1589" s="228"/>
      <c r="F1589" s="197"/>
      <c r="G1589" s="26" t="str">
        <f ca="1">IFERROR(__xludf.DUMMYFUNCTION("IF(I1780="""","""",FILTER(DATOS!$D$4:$D$237,DATOS!$B$4:$B$237=I1780))"),"06-017")</f>
        <v>06-017</v>
      </c>
      <c r="H1589" s="26" t="str">
        <f ca="1">IFERROR(__xludf.DUMMYFUNCTION("IF(I1780="""","""",FILTER(DATOS!$C$4:$C$237,DATOS!$B$4:$B$237=I1780))"),"TUNJUELITO")</f>
        <v>TUNJUELITO</v>
      </c>
      <c r="I1589" s="36" t="s">
        <v>117</v>
      </c>
      <c r="J1589" s="36" t="s">
        <v>516</v>
      </c>
      <c r="K1589" s="30">
        <v>936593</v>
      </c>
      <c r="L1589" s="11"/>
    </row>
    <row r="1590" spans="1:12" ht="24.75" customHeight="1">
      <c r="A1590" s="214"/>
      <c r="B1590" s="197"/>
      <c r="C1590" s="197"/>
      <c r="D1590" s="228"/>
      <c r="E1590" s="228"/>
      <c r="F1590" s="197"/>
      <c r="G1590" s="26" t="str">
        <f ca="1">IFERROR(__xludf.DUMMYFUNCTION("IF(I1781="""","""",FILTER(DATOS!$D$4:$D$237,DATOS!$B$4:$B$237=I1781))"),"06-063")</f>
        <v>06-063</v>
      </c>
      <c r="H1590" s="26" t="str">
        <f ca="1">IFERROR(__xludf.DUMMYFUNCTION("IF(I1781="""","""",FILTER(DATOS!$C$4:$C$237,DATOS!$B$4:$B$237=I1781))"),"TUNJUELITO")</f>
        <v>TUNJUELITO</v>
      </c>
      <c r="I1590" s="36" t="s">
        <v>87</v>
      </c>
      <c r="J1590" s="36" t="s">
        <v>516</v>
      </c>
      <c r="K1590" s="30">
        <v>12984046</v>
      </c>
      <c r="L1590" s="11"/>
    </row>
    <row r="1591" spans="1:12" ht="24.75" customHeight="1">
      <c r="A1591" s="214"/>
      <c r="B1591" s="197"/>
      <c r="C1591" s="197"/>
      <c r="D1591" s="228"/>
      <c r="E1591" s="228"/>
      <c r="F1591" s="197"/>
      <c r="G1591" s="26" t="str">
        <f ca="1">IFERROR(__xludf.DUMMYFUNCTION("IF(I1782="""","""",FILTER(DATOS!$D$4:$D$237,DATOS!$B$4:$B$237=I1782))"),"06-063")</f>
        <v>06-063</v>
      </c>
      <c r="H1591" s="26" t="str">
        <f ca="1">IFERROR(__xludf.DUMMYFUNCTION("IF(I1782="""","""",FILTER(DATOS!$C$4:$C$237,DATOS!$B$4:$B$237=I1782))"),"TUNJUELITO")</f>
        <v>TUNJUELITO</v>
      </c>
      <c r="I1591" s="36" t="s">
        <v>88</v>
      </c>
      <c r="J1591" s="36" t="s">
        <v>516</v>
      </c>
      <c r="K1591" s="30">
        <v>1873186</v>
      </c>
      <c r="L1591" s="11"/>
    </row>
    <row r="1592" spans="1:12" ht="24.75" customHeight="1">
      <c r="A1592" s="214"/>
      <c r="B1592" s="197"/>
      <c r="C1592" s="197"/>
      <c r="D1592" s="228"/>
      <c r="E1592" s="228"/>
      <c r="F1592" s="197"/>
      <c r="G1592" s="26" t="str">
        <f ca="1">IFERROR(__xludf.DUMMYFUNCTION("IF(I1783="""","""",FILTER(DATOS!$D$4:$D$237,DATOS!$B$4:$B$237=I1783))"),"07-035")</f>
        <v>07-035</v>
      </c>
      <c r="H1592" s="26" t="str">
        <f ca="1">IFERROR(__xludf.DUMMYFUNCTION("IF(I1783="""","""",FILTER(DATOS!$C$4:$C$237,DATOS!$B$4:$B$237=I1783))"),"BOSA")</f>
        <v>BOSA</v>
      </c>
      <c r="I1592" s="36" t="s">
        <v>116</v>
      </c>
      <c r="J1592" s="36" t="s">
        <v>516</v>
      </c>
      <c r="K1592" s="30">
        <v>1247977</v>
      </c>
      <c r="L1592" s="11"/>
    </row>
    <row r="1593" spans="1:12" ht="24.75" customHeight="1">
      <c r="A1593" s="214"/>
      <c r="B1593" s="197"/>
      <c r="C1593" s="197"/>
      <c r="D1593" s="228"/>
      <c r="E1593" s="228"/>
      <c r="F1593" s="197"/>
      <c r="G1593" s="26" t="str">
        <f ca="1">IFERROR(__xludf.DUMMYFUNCTION("IF(I1784="""","""",FILTER(DATOS!$D$4:$D$237,DATOS!$B$4:$B$237=I1784))"),"07-163")</f>
        <v>07-163</v>
      </c>
      <c r="H1593" s="26" t="str">
        <f ca="1">IFERROR(__xludf.DUMMYFUNCTION("IF(I1784="""","""",FILTER(DATOS!$C$4:$C$237,DATOS!$B$4:$B$237=I1784))"),"BOSA")</f>
        <v>BOSA</v>
      </c>
      <c r="I1593" s="36" t="s">
        <v>80</v>
      </c>
      <c r="J1593" s="36" t="s">
        <v>516</v>
      </c>
      <c r="K1593" s="30">
        <v>2184570</v>
      </c>
      <c r="L1593" s="11"/>
    </row>
    <row r="1594" spans="1:12" ht="15.75" customHeight="1">
      <c r="A1594" s="214"/>
      <c r="B1594" s="197"/>
      <c r="C1594" s="197"/>
      <c r="D1594" s="228"/>
      <c r="E1594" s="228"/>
      <c r="F1594" s="197"/>
      <c r="G1594" s="26" t="str">
        <f ca="1">IFERROR(__xludf.DUMMYFUNCTION("IF(I1785="""","""",FILTER(DATOS!$D$4:$D$237,DATOS!$B$4:$B$237=I1785))"),"07-164")</f>
        <v>07-164</v>
      </c>
      <c r="H1594" s="26" t="str">
        <f ca="1">IFERROR(__xludf.DUMMYFUNCTION("IF(I1785="""","""",FILTER(DATOS!$C$4:$C$237,DATOS!$B$4:$B$237=I1785))"),"BOSA")</f>
        <v>BOSA</v>
      </c>
      <c r="I1594" s="36" t="s">
        <v>85</v>
      </c>
      <c r="J1594" s="36" t="s">
        <v>516</v>
      </c>
      <c r="K1594" s="30">
        <v>936593</v>
      </c>
      <c r="L1594" s="11"/>
    </row>
    <row r="1595" spans="1:12" ht="15.75" customHeight="1">
      <c r="A1595" s="214"/>
      <c r="B1595" s="197"/>
      <c r="C1595" s="197"/>
      <c r="D1595" s="228"/>
      <c r="E1595" s="228"/>
      <c r="F1595" s="197"/>
      <c r="G1595" s="26" t="str">
        <f ca="1">IFERROR(__xludf.DUMMYFUNCTION("IF(I1786="""","""",FILTER(DATOS!$D$4:$D$237,DATOS!$B$4:$B$237=I1786))"),"07-165")</f>
        <v>07-165</v>
      </c>
      <c r="H1595" s="26" t="str">
        <f ca="1">IFERROR(__xludf.DUMMYFUNCTION("IF(I1786="""","""",FILTER(DATOS!$C$4:$C$237,DATOS!$B$4:$B$237=I1786))"),"BOSA")</f>
        <v>BOSA</v>
      </c>
      <c r="I1595" s="36" t="s">
        <v>107</v>
      </c>
      <c r="J1595" s="36" t="s">
        <v>516</v>
      </c>
      <c r="K1595" s="30">
        <v>462088</v>
      </c>
      <c r="L1595" s="11"/>
    </row>
    <row r="1596" spans="1:12" ht="15.75" customHeight="1">
      <c r="A1596" s="214"/>
      <c r="B1596" s="197"/>
      <c r="C1596" s="197"/>
      <c r="D1596" s="228"/>
      <c r="E1596" s="228"/>
      <c r="F1596" s="197"/>
      <c r="G1596" s="26" t="str">
        <f ca="1">IFERROR(__xludf.DUMMYFUNCTION("IF(I1787="""","""",FILTER(DATOS!$D$4:$D$237,DATOS!$B$4:$B$237=I1787))"),"07-260")</f>
        <v>07-260</v>
      </c>
      <c r="H1596" s="26" t="str">
        <f ca="1">IFERROR(__xludf.DUMMYFUNCTION("IF(I1787="""","""",FILTER(DATOS!$C$4:$C$237,DATOS!$B$4:$B$237=I1787))"),"BOSA")</f>
        <v>BOSA</v>
      </c>
      <c r="I1596" s="36" t="s">
        <v>84</v>
      </c>
      <c r="J1596" s="36" t="s">
        <v>516</v>
      </c>
      <c r="K1596" s="30">
        <v>462088</v>
      </c>
      <c r="L1596" s="11"/>
    </row>
    <row r="1597" spans="1:12" ht="15.75" customHeight="1">
      <c r="A1597" s="214"/>
      <c r="B1597" s="197"/>
      <c r="C1597" s="197"/>
      <c r="D1597" s="228"/>
      <c r="E1597" s="228"/>
      <c r="F1597" s="197"/>
      <c r="G1597" s="26" t="str">
        <f ca="1">IFERROR(__xludf.DUMMYFUNCTION("IF(I1788="""","""",FILTER(DATOS!$D$4:$D$237,DATOS!$B$4:$B$237=I1788))"),"07-274")</f>
        <v>07-274</v>
      </c>
      <c r="H1597" s="26" t="str">
        <f ca="1">IFERROR(__xludf.DUMMYFUNCTION("IF(I1788="""","""",FILTER(DATOS!$C$4:$C$237,DATOS!$B$4:$B$237=I1788))"),"BOSA")</f>
        <v>BOSA</v>
      </c>
      <c r="I1597" s="36" t="s">
        <v>130</v>
      </c>
      <c r="J1597" s="36" t="s">
        <v>516</v>
      </c>
      <c r="K1597" s="30">
        <v>462088</v>
      </c>
      <c r="L1597" s="11"/>
    </row>
    <row r="1598" spans="1:12" ht="15.75" customHeight="1">
      <c r="A1598" s="214"/>
      <c r="B1598" s="197"/>
      <c r="C1598" s="197"/>
      <c r="D1598" s="228"/>
      <c r="E1598" s="228"/>
      <c r="F1598" s="197"/>
      <c r="G1598" s="26" t="str">
        <f ca="1">IFERROR(__xludf.DUMMYFUNCTION("IF(I1789="""","""",FILTER(DATOS!$D$4:$D$237,DATOS!$B$4:$B$237=I1789))"),"07-391")</f>
        <v>07-391</v>
      </c>
      <c r="H1598" s="26" t="str">
        <f ca="1">IFERROR(__xludf.DUMMYFUNCTION("IF(I1789="""","""",FILTER(DATOS!$C$4:$C$237,DATOS!$B$4:$B$237=I1789))"),"BOSA")</f>
        <v>BOSA</v>
      </c>
      <c r="I1598" s="36" t="s">
        <v>119</v>
      </c>
      <c r="J1598" s="36" t="s">
        <v>516</v>
      </c>
      <c r="K1598" s="30">
        <v>462088</v>
      </c>
      <c r="L1598" s="11"/>
    </row>
    <row r="1599" spans="1:12" ht="24.75" customHeight="1">
      <c r="A1599" s="214"/>
      <c r="B1599" s="197"/>
      <c r="C1599" s="197"/>
      <c r="D1599" s="228"/>
      <c r="E1599" s="228"/>
      <c r="F1599" s="197"/>
      <c r="G1599" s="26" t="str">
        <f ca="1">IFERROR(__xludf.DUMMYFUNCTION("IF(I1790="""","""",FILTER(DATOS!$D$4:$D$237,DATOS!$B$4:$B$237=I1790))"),"07-152")</f>
        <v>07-152</v>
      </c>
      <c r="H1599" s="26" t="str">
        <f ca="1">IFERROR(__xludf.DUMMYFUNCTION("IF(I1790="""","""",FILTER(DATOS!$C$4:$C$237,DATOS!$B$4:$B$237=I1790))"),"BOSA")</f>
        <v>BOSA</v>
      </c>
      <c r="I1599" s="36" t="s">
        <v>92</v>
      </c>
      <c r="J1599" s="36" t="s">
        <v>516</v>
      </c>
      <c r="K1599" s="30">
        <v>2233273</v>
      </c>
      <c r="L1599" s="11"/>
    </row>
    <row r="1600" spans="1:12" ht="24.75" customHeight="1">
      <c r="A1600" s="214"/>
      <c r="B1600" s="197"/>
      <c r="C1600" s="197"/>
      <c r="D1600" s="228"/>
      <c r="E1600" s="228"/>
      <c r="F1600" s="197"/>
      <c r="G1600" s="26" t="str">
        <f ca="1">IFERROR(__xludf.DUMMYFUNCTION("IF(I1791="""","""",FILTER(DATOS!$D$4:$D$237,DATOS!$B$4:$B$237=I1791))"),"07-273")</f>
        <v>07-273</v>
      </c>
      <c r="H1600" s="26" t="str">
        <f ca="1">IFERROR(__xludf.DUMMYFUNCTION("IF(I1791="""","""",FILTER(DATOS!$C$4:$C$237,DATOS!$B$4:$B$237=I1791))"),"BOSA")</f>
        <v>BOSA</v>
      </c>
      <c r="I1600" s="36" t="s">
        <v>103</v>
      </c>
      <c r="J1600" s="36" t="s">
        <v>516</v>
      </c>
      <c r="K1600" s="30">
        <v>924176</v>
      </c>
      <c r="L1600" s="11"/>
    </row>
    <row r="1601" spans="1:12" ht="15.75" customHeight="1">
      <c r="A1601" s="214"/>
      <c r="B1601" s="197"/>
      <c r="C1601" s="197"/>
      <c r="D1601" s="228"/>
      <c r="E1601" s="228"/>
      <c r="F1601" s="197"/>
      <c r="G1601" s="26" t="str">
        <f ca="1">IFERROR(__xludf.DUMMYFUNCTION("IF(I1792="""","""",FILTER(DATOS!$D$4:$D$237,DATOS!$B$4:$B$237=I1792))"),"07-036")</f>
        <v>07-036</v>
      </c>
      <c r="H1601" s="26" t="str">
        <f ca="1">IFERROR(__xludf.DUMMYFUNCTION("IF(I1792="""","""",FILTER(DATOS!$C$4:$C$237,DATOS!$B$4:$B$237=I1792))"),"BOSA")</f>
        <v>BOSA</v>
      </c>
      <c r="I1601" s="36" t="s">
        <v>131</v>
      </c>
      <c r="J1601" s="36" t="s">
        <v>516</v>
      </c>
      <c r="K1601" s="30">
        <v>2552737</v>
      </c>
      <c r="L1601" s="11"/>
    </row>
    <row r="1602" spans="1:12" ht="15.75" customHeight="1">
      <c r="A1602" s="214"/>
      <c r="B1602" s="197"/>
      <c r="C1602" s="197"/>
      <c r="D1602" s="228"/>
      <c r="E1602" s="228"/>
      <c r="F1602" s="197"/>
      <c r="G1602" s="26" t="str">
        <f ca="1">IFERROR(__xludf.DUMMYFUNCTION("IF(I1793="""","""",FILTER(DATOS!$D$4:$D$237,DATOS!$B$4:$B$237=I1793))"),"07-436")</f>
        <v>07-436</v>
      </c>
      <c r="H1602" s="26" t="str">
        <f ca="1">IFERROR(__xludf.DUMMYFUNCTION("IF(I1793="""","""",FILTER(DATOS!$C$4:$C$237,DATOS!$B$4:$B$237=I1793))"),"BOSA")</f>
        <v>BOSA</v>
      </c>
      <c r="I1602" s="36" t="s">
        <v>140</v>
      </c>
      <c r="J1602" s="36" t="s">
        <v>516</v>
      </c>
      <c r="K1602" s="30">
        <v>462088</v>
      </c>
      <c r="L1602" s="11"/>
    </row>
    <row r="1603" spans="1:12" ht="24.75" customHeight="1">
      <c r="A1603" s="214"/>
      <c r="B1603" s="197"/>
      <c r="C1603" s="197"/>
      <c r="D1603" s="228"/>
      <c r="E1603" s="228"/>
      <c r="F1603" s="197"/>
      <c r="G1603" s="26" t="str">
        <f ca="1">IFERROR(__xludf.DUMMYFUNCTION("IF(I1794="""","""",FILTER(DATOS!$D$4:$D$237,DATOS!$B$4:$B$237=I1794))"),"08-034")</f>
        <v>08-034</v>
      </c>
      <c r="H1603" s="26" t="str">
        <f ca="1">IFERROR(__xludf.DUMMYFUNCTION("IF(I1794="""","""",FILTER(DATOS!$C$4:$C$237,DATOS!$B$4:$B$237=I1794))"),"KENNEDY")</f>
        <v>KENNEDY</v>
      </c>
      <c r="I1603" s="36" t="s">
        <v>118</v>
      </c>
      <c r="J1603" s="36" t="s">
        <v>516</v>
      </c>
      <c r="K1603" s="30">
        <v>924176</v>
      </c>
      <c r="L1603" s="11"/>
    </row>
    <row r="1604" spans="1:12" ht="15.75" customHeight="1">
      <c r="A1604" s="214"/>
      <c r="B1604" s="197"/>
      <c r="C1604" s="197"/>
      <c r="D1604" s="228"/>
      <c r="E1604" s="228"/>
      <c r="F1604" s="197"/>
      <c r="G1604" s="26" t="str">
        <f ca="1">IFERROR(__xludf.DUMMYFUNCTION("IF(I1796="""","""",FILTER(DATOS!$D$4:$D$237,DATOS!$B$4:$B$237=I1796))"),"08-144")</f>
        <v>08-144</v>
      </c>
      <c r="H1604" s="26" t="str">
        <f ca="1">IFERROR(__xludf.DUMMYFUNCTION("IF(I1796="""","""",FILTER(DATOS!$C$4:$C$237,DATOS!$B$4:$B$237=I1796))"),"KENNEDY")</f>
        <v>KENNEDY</v>
      </c>
      <c r="I1604" s="36" t="s">
        <v>81</v>
      </c>
      <c r="J1604" s="36" t="s">
        <v>516</v>
      </c>
      <c r="K1604" s="30">
        <v>462088</v>
      </c>
      <c r="L1604" s="11"/>
    </row>
    <row r="1605" spans="1:12" ht="24.75" customHeight="1">
      <c r="A1605" s="214"/>
      <c r="B1605" s="197"/>
      <c r="C1605" s="197"/>
      <c r="D1605" s="228"/>
      <c r="E1605" s="228"/>
      <c r="F1605" s="197"/>
      <c r="G1605" s="26" t="str">
        <f ca="1">IFERROR(__xludf.DUMMYFUNCTION("IF(I1797="""","""",FILTER(DATOS!$D$4:$D$237,DATOS!$B$4:$B$237=I1797))"),"08-200")</f>
        <v>08-200</v>
      </c>
      <c r="H1605" s="26" t="str">
        <f ca="1">IFERROR(__xludf.DUMMYFUNCTION("IF(I1797="""","""",FILTER(DATOS!$C$4:$C$237,DATOS!$B$4:$B$237=I1797))"),"KENNEDY")</f>
        <v>KENNEDY</v>
      </c>
      <c r="I1605" s="36" t="s">
        <v>77</v>
      </c>
      <c r="J1605" s="36" t="s">
        <v>516</v>
      </c>
      <c r="K1605" s="30">
        <v>2310865</v>
      </c>
      <c r="L1605" s="11"/>
    </row>
    <row r="1606" spans="1:12" ht="15.75" customHeight="1">
      <c r="A1606" s="214"/>
      <c r="B1606" s="197"/>
      <c r="C1606" s="197"/>
      <c r="D1606" s="228"/>
      <c r="E1606" s="228"/>
      <c r="F1606" s="197"/>
      <c r="G1606" s="26" t="str">
        <f ca="1">IFERROR(__xludf.DUMMYFUNCTION("IF(I1798="""","""",FILTER(DATOS!$D$4:$D$237,DATOS!$B$4:$B$237=I1798))"),"08-212")</f>
        <v>08-212</v>
      </c>
      <c r="H1606" s="26" t="str">
        <f ca="1">IFERROR(__xludf.DUMMYFUNCTION("IF(I1798="""","""",FILTER(DATOS!$C$4:$C$237,DATOS!$B$4:$B$237=I1798))"),"KENNEDY")</f>
        <v>KENNEDY</v>
      </c>
      <c r="I1606" s="36" t="s">
        <v>106</v>
      </c>
      <c r="J1606" s="36" t="s">
        <v>516</v>
      </c>
      <c r="K1606" s="30">
        <v>462088</v>
      </c>
      <c r="L1606" s="11"/>
    </row>
    <row r="1607" spans="1:12" ht="24.75" customHeight="1">
      <c r="A1607" s="214"/>
      <c r="B1607" s="197"/>
      <c r="C1607" s="197"/>
      <c r="D1607" s="228"/>
      <c r="E1607" s="228"/>
      <c r="F1607" s="197"/>
      <c r="G1607" s="26" t="str">
        <f ca="1">IFERROR(__xludf.DUMMYFUNCTION("IF(I1799="""","""",FILTER(DATOS!$D$4:$D$237,DATOS!$B$4:$B$237=I1799))"),"08-219")</f>
        <v>08-219</v>
      </c>
      <c r="H1607" s="26" t="str">
        <f ca="1">IFERROR(__xludf.DUMMYFUNCTION("IF(I1799="""","""",FILTER(DATOS!$C$4:$C$237,DATOS!$B$4:$B$237=I1799))"),"KENNEDY")</f>
        <v>KENNEDY</v>
      </c>
      <c r="I1607" s="36" t="s">
        <v>132</v>
      </c>
      <c r="J1607" s="36" t="s">
        <v>516</v>
      </c>
      <c r="K1607" s="30">
        <v>4973034</v>
      </c>
      <c r="L1607" s="11"/>
    </row>
    <row r="1608" spans="1:12" ht="15.75" customHeight="1">
      <c r="A1608" s="214"/>
      <c r="B1608" s="197"/>
      <c r="C1608" s="197"/>
      <c r="D1608" s="228"/>
      <c r="E1608" s="228"/>
      <c r="F1608" s="197"/>
      <c r="G1608" s="26" t="str">
        <f ca="1">IFERROR(__xludf.DUMMYFUNCTION("IF(I1800="""","""",FILTER(DATOS!$D$4:$D$237,DATOS!$B$4:$B$237=I1800))"),"08-241")</f>
        <v>08-241</v>
      </c>
      <c r="H1608" s="26" t="str">
        <f ca="1">IFERROR(__xludf.DUMMYFUNCTION("IF(I1800="""","""",FILTER(DATOS!$C$4:$C$237,DATOS!$B$4:$B$237=I1800))"),"KENNEDY")</f>
        <v>KENNEDY</v>
      </c>
      <c r="I1608" s="36" t="s">
        <v>78</v>
      </c>
      <c r="J1608" s="36" t="s">
        <v>516</v>
      </c>
      <c r="K1608" s="30">
        <v>1364212</v>
      </c>
      <c r="L1608" s="11"/>
    </row>
    <row r="1609" spans="1:12" ht="15.75" customHeight="1">
      <c r="A1609" s="214"/>
      <c r="B1609" s="197"/>
      <c r="C1609" s="197"/>
      <c r="D1609" s="228"/>
      <c r="E1609" s="228"/>
      <c r="F1609" s="197"/>
      <c r="G1609" s="26" t="str">
        <f ca="1">IFERROR(__xludf.DUMMYFUNCTION("IF(I1801="""","""",FILTER(DATOS!$D$4:$D$237,DATOS!$B$4:$B$237=I1801))"),"08-355")</f>
        <v>08-355</v>
      </c>
      <c r="H1609" s="26" t="str">
        <f ca="1">IFERROR(__xludf.DUMMYFUNCTION("IF(I1801="""","""",FILTER(DATOS!$C$4:$C$237,DATOS!$B$4:$B$237=I1801))"),"KENNEDY")</f>
        <v>KENNEDY</v>
      </c>
      <c r="I1609" s="36" t="s">
        <v>100</v>
      </c>
      <c r="J1609" s="36" t="s">
        <v>516</v>
      </c>
      <c r="K1609" s="30">
        <v>936593</v>
      </c>
      <c r="L1609" s="11"/>
    </row>
    <row r="1610" spans="1:12" ht="15.75" customHeight="1">
      <c r="A1610" s="214"/>
      <c r="B1610" s="197"/>
      <c r="C1610" s="197"/>
      <c r="D1610" s="228"/>
      <c r="E1610" s="228"/>
      <c r="F1610" s="197"/>
      <c r="G1610" s="26" t="str">
        <f ca="1">IFERROR(__xludf.DUMMYFUNCTION("IF(I1802="""","""",FILTER(DATOS!$D$4:$D$237,DATOS!$B$4:$B$237=I1802))"),"08-552")</f>
        <v>08-552</v>
      </c>
      <c r="H1610" s="26" t="str">
        <f ca="1">IFERROR(__xludf.DUMMYFUNCTION("IF(I1802="""","""",FILTER(DATOS!$C$4:$C$237,DATOS!$B$4:$B$237=I1802))"),"KENNEDY")</f>
        <v>KENNEDY</v>
      </c>
      <c r="I1610" s="36" t="s">
        <v>97</v>
      </c>
      <c r="J1610" s="36" t="s">
        <v>516</v>
      </c>
      <c r="K1610" s="30">
        <v>936593</v>
      </c>
      <c r="L1610" s="11"/>
    </row>
    <row r="1611" spans="1:12" ht="15.75" customHeight="1">
      <c r="A1611" s="214"/>
      <c r="B1611" s="197"/>
      <c r="C1611" s="197"/>
      <c r="D1611" s="228"/>
      <c r="E1611" s="228"/>
      <c r="F1611" s="197"/>
      <c r="G1611" s="26" t="str">
        <f ca="1">IFERROR(__xludf.DUMMYFUNCTION("IF(I1803="""","""",FILTER(DATOS!$D$4:$D$237,DATOS!$B$4:$B$237=I1803))"),"08-791")</f>
        <v>08-791</v>
      </c>
      <c r="H1611" s="26" t="str">
        <f ca="1">IFERROR(__xludf.DUMMYFUNCTION("IF(I1803="""","""",FILTER(DATOS!$C$4:$C$237,DATOS!$B$4:$B$237=I1803))"),"KENNEDY")</f>
        <v>KENNEDY</v>
      </c>
      <c r="I1611" s="36" t="s">
        <v>125</v>
      </c>
      <c r="J1611" s="36" t="s">
        <v>516</v>
      </c>
      <c r="K1611" s="30">
        <v>462088</v>
      </c>
      <c r="L1611" s="11"/>
    </row>
    <row r="1612" spans="1:12" ht="15.75" customHeight="1">
      <c r="A1612" s="214"/>
      <c r="B1612" s="197"/>
      <c r="C1612" s="197"/>
      <c r="D1612" s="228"/>
      <c r="E1612" s="228"/>
      <c r="F1612" s="197"/>
      <c r="G1612" s="26" t="str">
        <f ca="1">IFERROR(__xludf.DUMMYFUNCTION("IF(I1804="""","""",FILTER(DATOS!$D$4:$D$237,DATOS!$B$4:$B$237=I1804))"),"08-066")</f>
        <v>08-066</v>
      </c>
      <c r="H1612" s="26" t="str">
        <f ca="1">IFERROR(__xludf.DUMMYFUNCTION("IF(I1804="""","""",FILTER(DATOS!$C$4:$C$237,DATOS!$B$4:$B$237=I1804))"),"KENNEDY")</f>
        <v>KENNEDY</v>
      </c>
      <c r="I1612" s="36" t="s">
        <v>110</v>
      </c>
      <c r="J1612" s="36" t="s">
        <v>516</v>
      </c>
      <c r="K1612" s="30">
        <v>462088</v>
      </c>
      <c r="L1612" s="11"/>
    </row>
    <row r="1613" spans="1:12" ht="15.75" customHeight="1">
      <c r="A1613" s="214"/>
      <c r="B1613" s="197"/>
      <c r="C1613" s="197"/>
      <c r="D1613" s="228"/>
      <c r="E1613" s="228"/>
      <c r="F1613" s="197"/>
      <c r="G1613" s="26" t="str">
        <f ca="1">IFERROR(__xludf.DUMMYFUNCTION("IF(I1805="""","""",FILTER(DATOS!$D$4:$D$237,DATOS!$B$4:$B$237=I1805))"),"08-554")</f>
        <v>08-554</v>
      </c>
      <c r="H1613" s="26" t="str">
        <f ca="1">IFERROR(__xludf.DUMMYFUNCTION("IF(I1805="""","""",FILTER(DATOS!$C$4:$C$237,DATOS!$B$4:$B$237=I1805))"),"KENNEDY")</f>
        <v>KENNEDY</v>
      </c>
      <c r="I1613" s="36" t="s">
        <v>90</v>
      </c>
      <c r="J1613" s="36" t="s">
        <v>516</v>
      </c>
      <c r="K1613" s="30">
        <v>1364212</v>
      </c>
      <c r="L1613" s="11"/>
    </row>
    <row r="1614" spans="1:12" ht="15.75" customHeight="1">
      <c r="A1614" s="214"/>
      <c r="B1614" s="197"/>
      <c r="C1614" s="197"/>
      <c r="D1614" s="228"/>
      <c r="E1614" s="228"/>
      <c r="F1614" s="197"/>
      <c r="G1614" s="26" t="str">
        <f ca="1">IFERROR(__xludf.DUMMYFUNCTION("IF(I1807="""","""",FILTER(DATOS!$D$4:$D$237,DATOS!$B$4:$B$237=I1807))"),"09-104")</f>
        <v>09-104</v>
      </c>
      <c r="H1614" s="26" t="str">
        <f ca="1">IFERROR(__xludf.DUMMYFUNCTION("IF(I1807="""","""",FILTER(DATOS!$C$4:$C$237,DATOS!$B$4:$B$237=I1807))"),"FONTIBON")</f>
        <v>FONTIBON</v>
      </c>
      <c r="I1614" s="36" t="s">
        <v>21</v>
      </c>
      <c r="J1614" s="36" t="s">
        <v>516</v>
      </c>
      <c r="K1614" s="30">
        <v>936593</v>
      </c>
      <c r="L1614" s="11"/>
    </row>
    <row r="1615" spans="1:12" ht="15.75" customHeight="1">
      <c r="A1615" s="214"/>
      <c r="B1615" s="197"/>
      <c r="C1615" s="197"/>
      <c r="D1615" s="228"/>
      <c r="E1615" s="228"/>
      <c r="F1615" s="197"/>
      <c r="G1615" s="26" t="str">
        <f ca="1">IFERROR(__xludf.DUMMYFUNCTION("IF(I1808="""","""",FILTER(DATOS!$D$4:$D$237,DATOS!$B$4:$B$237=I1808))"),"09-111")</f>
        <v>09-111</v>
      </c>
      <c r="H1615" s="26" t="str">
        <f ca="1">IFERROR(__xludf.DUMMYFUNCTION("IF(I1808="""","""",FILTER(DATOS!$C$4:$C$237,DATOS!$B$4:$B$237=I1808))"),"FONTIBON")</f>
        <v>FONTIBON</v>
      </c>
      <c r="I1615" s="36" t="s">
        <v>57</v>
      </c>
      <c r="J1615" s="36" t="s">
        <v>516</v>
      </c>
      <c r="K1615" s="30">
        <v>936593</v>
      </c>
      <c r="L1615" s="11"/>
    </row>
    <row r="1616" spans="1:12" ht="15.75" customHeight="1">
      <c r="A1616" s="214"/>
      <c r="B1616" s="197"/>
      <c r="C1616" s="197"/>
      <c r="D1616" s="228"/>
      <c r="E1616" s="228"/>
      <c r="F1616" s="197"/>
      <c r="G1616" s="26" t="str">
        <f ca="1">IFERROR(__xludf.DUMMYFUNCTION("IF(I1809="""","""",FILTER(DATOS!$D$4:$D$237,DATOS!$B$4:$B$237=I1809))"),"09-125")</f>
        <v>09-125</v>
      </c>
      <c r="H1616" s="26" t="str">
        <f ca="1">IFERROR(__xludf.DUMMYFUNCTION("IF(I1809="""","""",FILTER(DATOS!$C$4:$C$237,DATOS!$B$4:$B$237=I1809))"),"FONTIBON")</f>
        <v>FONTIBON</v>
      </c>
      <c r="I1616" s="36" t="s">
        <v>67</v>
      </c>
      <c r="J1616" s="36" t="s">
        <v>516</v>
      </c>
      <c r="K1616" s="30">
        <v>2090649</v>
      </c>
      <c r="L1616" s="11"/>
    </row>
    <row r="1617" spans="1:12" ht="15.75" customHeight="1">
      <c r="A1617" s="214"/>
      <c r="B1617" s="197"/>
      <c r="C1617" s="197"/>
      <c r="D1617" s="228"/>
      <c r="E1617" s="228"/>
      <c r="F1617" s="197"/>
      <c r="G1617" s="26" t="str">
        <f ca="1">IFERROR(__xludf.DUMMYFUNCTION("IF(I1811="""","""",FILTER(DATOS!$D$4:$D$237,DATOS!$B$4:$B$237=I1811))"),"10-102")</f>
        <v>10-102</v>
      </c>
      <c r="H1617" s="26" t="str">
        <f ca="1">IFERROR(__xludf.DUMMYFUNCTION("IF(I1811="""","""",FILTER(DATOS!$C$4:$C$237,DATOS!$B$4:$B$237=I1811))"),"ENGATIVA")</f>
        <v>ENGATIVA</v>
      </c>
      <c r="I1617" s="36" t="s">
        <v>65</v>
      </c>
      <c r="J1617" s="36" t="s">
        <v>516</v>
      </c>
      <c r="K1617" s="30">
        <v>462088</v>
      </c>
      <c r="L1617" s="11"/>
    </row>
    <row r="1618" spans="1:12" ht="15.75" customHeight="1">
      <c r="A1618" s="214"/>
      <c r="B1618" s="197"/>
      <c r="C1618" s="197"/>
      <c r="D1618" s="228"/>
      <c r="E1618" s="228"/>
      <c r="F1618" s="197"/>
      <c r="G1618" s="26" t="str">
        <f ca="1">IFERROR(__xludf.DUMMYFUNCTION("IF(I1812="""","""",FILTER(DATOS!$D$4:$D$237,DATOS!$B$4:$B$237=I1812))"),"10-169")</f>
        <v>10-169</v>
      </c>
      <c r="H1618" s="26" t="str">
        <f ca="1">IFERROR(__xludf.DUMMYFUNCTION("IF(I1812="""","""",FILTER(DATOS!$C$4:$C$237,DATOS!$B$4:$B$237=I1812))"),"ENGATIVA")</f>
        <v>ENGATIVA</v>
      </c>
      <c r="I1618" s="36" t="s">
        <v>30</v>
      </c>
      <c r="J1618" s="36" t="s">
        <v>516</v>
      </c>
      <c r="K1618" s="30">
        <v>462088</v>
      </c>
      <c r="L1618" s="11"/>
    </row>
    <row r="1619" spans="1:12" ht="15.75" customHeight="1">
      <c r="A1619" s="214"/>
      <c r="B1619" s="197"/>
      <c r="C1619" s="197"/>
      <c r="D1619" s="228"/>
      <c r="E1619" s="228"/>
      <c r="F1619" s="197"/>
      <c r="G1619" s="26" t="str">
        <f ca="1">IFERROR(__xludf.DUMMYFUNCTION("IF(I1813="""","""",FILTER(DATOS!$D$4:$D$237,DATOS!$B$4:$B$237=I1813))"),"10-171")</f>
        <v>10-171</v>
      </c>
      <c r="H1619" s="26" t="str">
        <f ca="1">IFERROR(__xludf.DUMMYFUNCTION("IF(I1813="""","""",FILTER(DATOS!$C$4:$C$237,DATOS!$B$4:$B$237=I1813))"),"ENGATIVA")</f>
        <v>ENGATIVA</v>
      </c>
      <c r="I1619" s="36" t="s">
        <v>37</v>
      </c>
      <c r="J1619" s="36" t="s">
        <v>516</v>
      </c>
      <c r="K1619" s="30">
        <v>462088</v>
      </c>
      <c r="L1619" s="11"/>
    </row>
    <row r="1620" spans="1:12" ht="15.75" customHeight="1">
      <c r="A1620" s="214"/>
      <c r="B1620" s="197"/>
      <c r="C1620" s="197"/>
      <c r="D1620" s="228"/>
      <c r="E1620" s="228"/>
      <c r="F1620" s="197"/>
      <c r="G1620" s="26" t="str">
        <f ca="1">IFERROR(__xludf.DUMMYFUNCTION("IF(I1814="""","""",FILTER(DATOS!$D$4:$D$237,DATOS!$B$4:$B$237=I1814))"),"10-192")</f>
        <v>10-192</v>
      </c>
      <c r="H1620" s="26" t="str">
        <f ca="1">IFERROR(__xludf.DUMMYFUNCTION("IF(I1814="""","""",FILTER(DATOS!$C$4:$C$237,DATOS!$B$4:$B$237=I1814))"),"ENGATIVA")</f>
        <v>ENGATIVA</v>
      </c>
      <c r="I1620" s="36" t="s">
        <v>33</v>
      </c>
      <c r="J1620" s="36" t="s">
        <v>516</v>
      </c>
      <c r="K1620" s="30">
        <v>462088</v>
      </c>
      <c r="L1620" s="11"/>
    </row>
    <row r="1621" spans="1:12" ht="15.75" customHeight="1">
      <c r="A1621" s="214"/>
      <c r="B1621" s="197"/>
      <c r="C1621" s="197"/>
      <c r="D1621" s="228"/>
      <c r="E1621" s="228"/>
      <c r="F1621" s="197"/>
      <c r="G1621" s="26" t="str">
        <f ca="1">IFERROR(__xludf.DUMMYFUNCTION("IF(I1815="""","""",FILTER(DATOS!$D$4:$D$237,DATOS!$B$4:$B$237=I1815))"),"10-215")</f>
        <v>10-215</v>
      </c>
      <c r="H1621" s="26" t="str">
        <f ca="1">IFERROR(__xludf.DUMMYFUNCTION("IF(I1815="""","""",FILTER(DATOS!$C$4:$C$237,DATOS!$B$4:$B$237=I1815))"),"ENGATIVA")</f>
        <v>ENGATIVA</v>
      </c>
      <c r="I1621" s="36" t="s">
        <v>22</v>
      </c>
      <c r="J1621" s="36" t="s">
        <v>516</v>
      </c>
      <c r="K1621" s="30">
        <v>462088</v>
      </c>
      <c r="L1621" s="11"/>
    </row>
    <row r="1622" spans="1:12" ht="15.75" customHeight="1">
      <c r="A1622" s="214"/>
      <c r="B1622" s="197"/>
      <c r="C1622" s="197"/>
      <c r="D1622" s="228"/>
      <c r="E1622" s="228"/>
      <c r="F1622" s="197"/>
      <c r="G1622" s="26" t="str">
        <f ca="1">IFERROR(__xludf.DUMMYFUNCTION("IF(I1816="""","""",FILTER(DATOS!$D$4:$D$237,DATOS!$B$4:$B$237=I1816))"),"10-223")</f>
        <v>10-223</v>
      </c>
      <c r="H1622" s="26" t="str">
        <f ca="1">IFERROR(__xludf.DUMMYFUNCTION("IF(I1816="""","""",FILTER(DATOS!$C$4:$C$237,DATOS!$B$4:$B$237=I1816))"),"ENGATIVA")</f>
        <v>ENGATIVA</v>
      </c>
      <c r="I1622" s="36" t="s">
        <v>41</v>
      </c>
      <c r="J1622" s="36" t="s">
        <v>516</v>
      </c>
      <c r="K1622" s="30">
        <v>936593</v>
      </c>
      <c r="L1622" s="11"/>
    </row>
    <row r="1623" spans="1:12" ht="15.75" customHeight="1">
      <c r="A1623" s="214"/>
      <c r="B1623" s="197"/>
      <c r="C1623" s="197"/>
      <c r="D1623" s="228"/>
      <c r="E1623" s="228"/>
      <c r="F1623" s="197"/>
      <c r="G1623" s="26" t="str">
        <f ca="1">IFERROR(__xludf.DUMMYFUNCTION("IF(I1817="""","""",FILTER(DATOS!$D$4:$D$237,DATOS!$B$4:$B$237=I1817))"),"10-234")</f>
        <v>10-234</v>
      </c>
      <c r="H1623" s="26" t="str">
        <f ca="1">IFERROR(__xludf.DUMMYFUNCTION("IF(I1817="""","""",FILTER(DATOS!$C$4:$C$237,DATOS!$B$4:$B$237=I1817))"),"ENGATIVA")</f>
        <v>ENGATIVA</v>
      </c>
      <c r="I1623" s="36" t="s">
        <v>56</v>
      </c>
      <c r="J1623" s="36" t="s">
        <v>516</v>
      </c>
      <c r="K1623" s="30">
        <v>1364212</v>
      </c>
      <c r="L1623" s="11"/>
    </row>
    <row r="1624" spans="1:12" ht="24.75" customHeight="1">
      <c r="A1624" s="214"/>
      <c r="B1624" s="197"/>
      <c r="C1624" s="197"/>
      <c r="D1624" s="228"/>
      <c r="E1624" s="228"/>
      <c r="F1624" s="197"/>
      <c r="G1624" s="26" t="str">
        <f ca="1">IFERROR(__xludf.DUMMYFUNCTION("IF(I1818="""","""",FILTER(DATOS!$D$4:$D$237,DATOS!$B$4:$B$237=I1818))"),"10-290")</f>
        <v>10-290</v>
      </c>
      <c r="H1624" s="26" t="str">
        <f ca="1">IFERROR(__xludf.DUMMYFUNCTION("IF(I1818="""","""",FILTER(DATOS!$C$4:$C$237,DATOS!$B$4:$B$237=I1818))"),"ENGATIVA")</f>
        <v>ENGATIVA</v>
      </c>
      <c r="I1624" s="36" t="s">
        <v>62</v>
      </c>
      <c r="J1624" s="36" t="s">
        <v>516</v>
      </c>
      <c r="K1624" s="30">
        <v>4181298</v>
      </c>
      <c r="L1624" s="11"/>
    </row>
    <row r="1625" spans="1:12" ht="24.75" customHeight="1">
      <c r="A1625" s="214"/>
      <c r="B1625" s="197"/>
      <c r="C1625" s="197"/>
      <c r="D1625" s="228"/>
      <c r="E1625" s="228"/>
      <c r="F1625" s="197"/>
      <c r="G1625" s="26" t="str">
        <f ca="1">IFERROR(__xludf.DUMMYFUNCTION("IF(I1819="""","""",FILTER(DATOS!$D$4:$D$237,DATOS!$B$4:$B$237=I1819))"),"10-311")</f>
        <v>10-311</v>
      </c>
      <c r="H1625" s="26" t="str">
        <f ca="1">IFERROR(__xludf.DUMMYFUNCTION("IF(I1819="""","""",FILTER(DATOS!$C$4:$C$237,DATOS!$B$4:$B$237=I1819))"),"ENGATIVA")</f>
        <v>ENGATIVA</v>
      </c>
      <c r="I1625" s="36" t="s">
        <v>38</v>
      </c>
      <c r="J1625" s="36" t="s">
        <v>516</v>
      </c>
      <c r="K1625" s="30">
        <v>7902180</v>
      </c>
      <c r="L1625" s="11"/>
    </row>
    <row r="1626" spans="1:12" ht="24.75" customHeight="1">
      <c r="A1626" s="214"/>
      <c r="B1626" s="197"/>
      <c r="C1626" s="197"/>
      <c r="D1626" s="228"/>
      <c r="E1626" s="228"/>
      <c r="F1626" s="197"/>
      <c r="G1626" s="26" t="str">
        <f ca="1">IFERROR(__xludf.DUMMYFUNCTION("IF(I1820="""","""",FILTER(DATOS!$D$4:$D$237,DATOS!$B$4:$B$237=I1820))"),"10-531")</f>
        <v>10-531</v>
      </c>
      <c r="H1626" s="26" t="str">
        <f ca="1">IFERROR(__xludf.DUMMYFUNCTION("IF(I1820="""","""",FILTER(DATOS!$C$4:$C$237,DATOS!$B$4:$B$237=I1820))"),"ENGATIVA")</f>
        <v>ENGATIVA</v>
      </c>
      <c r="I1626" s="36" t="s">
        <v>52</v>
      </c>
      <c r="J1626" s="36" t="s">
        <v>516</v>
      </c>
      <c r="K1626" s="30">
        <v>924176</v>
      </c>
      <c r="L1626" s="11"/>
    </row>
    <row r="1627" spans="1:12" ht="24.75" customHeight="1">
      <c r="A1627" s="214"/>
      <c r="B1627" s="197"/>
      <c r="C1627" s="197"/>
      <c r="D1627" s="228"/>
      <c r="E1627" s="228"/>
      <c r="F1627" s="197"/>
      <c r="G1627" s="26" t="str">
        <f ca="1">IFERROR(__xludf.DUMMYFUNCTION("IF(I1823="""","""",FILTER(DATOS!$D$4:$D$237,DATOS!$B$4:$B$237=I1823))"),"11-205")</f>
        <v>11-205</v>
      </c>
      <c r="H1627" s="26" t="str">
        <f ca="1">IFERROR(__xludf.DUMMYFUNCTION("IF(I1823="""","""",FILTER(DATOS!$C$4:$C$237,DATOS!$B$4:$B$237=I1823))"),"SUBA")</f>
        <v>SUBA</v>
      </c>
      <c r="I1627" s="36" t="s">
        <v>39</v>
      </c>
      <c r="J1627" s="36" t="s">
        <v>516</v>
      </c>
      <c r="K1627" s="30">
        <v>2624690</v>
      </c>
      <c r="L1627" s="11"/>
    </row>
    <row r="1628" spans="1:12" ht="24.75" customHeight="1">
      <c r="A1628" s="214"/>
      <c r="B1628" s="197"/>
      <c r="C1628" s="197"/>
      <c r="D1628" s="228"/>
      <c r="E1628" s="228"/>
      <c r="F1628" s="197"/>
      <c r="G1628" s="26" t="str">
        <f ca="1">IFERROR(__xludf.DUMMYFUNCTION("IF(I1824="""","""",FILTER(DATOS!$D$4:$D$237,DATOS!$B$4:$B$237=I1824))"),"11-212")</f>
        <v>11-212</v>
      </c>
      <c r="H1628" s="26" t="str">
        <f ca="1">IFERROR(__xludf.DUMMYFUNCTION("IF(I1824="""","""",FILTER(DATOS!$C$4:$C$237,DATOS!$B$4:$B$237=I1824))"),"SUBA")</f>
        <v>SUBA</v>
      </c>
      <c r="I1628" s="36" t="s">
        <v>27</v>
      </c>
      <c r="J1628" s="36" t="s">
        <v>516</v>
      </c>
      <c r="K1628" s="30">
        <v>924176</v>
      </c>
      <c r="L1628" s="11"/>
    </row>
    <row r="1629" spans="1:12" ht="24.75" customHeight="1">
      <c r="A1629" s="214"/>
      <c r="B1629" s="197"/>
      <c r="C1629" s="197"/>
      <c r="D1629" s="228"/>
      <c r="E1629" s="228"/>
      <c r="F1629" s="197"/>
      <c r="G1629" s="26" t="str">
        <f ca="1">IFERROR(__xludf.DUMMYFUNCTION("IF(I1825="""","""",FILTER(DATOS!$D$4:$D$237,DATOS!$B$4:$B$237=I1825))"),"11-368")</f>
        <v>11-368</v>
      </c>
      <c r="H1629" s="26" t="str">
        <f ca="1">IFERROR(__xludf.DUMMYFUNCTION("IF(I1825="""","""",FILTER(DATOS!$C$4:$C$237,DATOS!$B$4:$B$237=I1825))"),"SUBA")</f>
        <v>SUBA</v>
      </c>
      <c r="I1629" s="36" t="s">
        <v>34</v>
      </c>
      <c r="J1629" s="36" t="s">
        <v>516</v>
      </c>
      <c r="K1629" s="30">
        <v>4181298</v>
      </c>
      <c r="L1629" s="11"/>
    </row>
    <row r="1630" spans="1:12" ht="24.75" customHeight="1">
      <c r="A1630" s="214"/>
      <c r="B1630" s="197"/>
      <c r="C1630" s="197"/>
      <c r="D1630" s="228"/>
      <c r="E1630" s="228"/>
      <c r="F1630" s="197"/>
      <c r="G1630" s="26" t="str">
        <f ca="1">IFERROR(__xludf.DUMMYFUNCTION("IF(I1826="""","""",FILTER(DATOS!$D$4:$D$237,DATOS!$B$4:$B$237=I1826))"),"11-368")</f>
        <v>11-368</v>
      </c>
      <c r="H1630" s="26" t="str">
        <f ca="1">IFERROR(__xludf.DUMMYFUNCTION("IF(I1826="""","""",FILTER(DATOS!$C$4:$C$237,DATOS!$B$4:$B$237=I1826))"),"SUBA")</f>
        <v>SUBA</v>
      </c>
      <c r="I1630" s="36" t="s">
        <v>35</v>
      </c>
      <c r="J1630" s="36" t="s">
        <v>516</v>
      </c>
      <c r="K1630" s="30">
        <v>3299384</v>
      </c>
      <c r="L1630" s="11"/>
    </row>
    <row r="1631" spans="1:12" ht="15.75" customHeight="1">
      <c r="A1631" s="214"/>
      <c r="B1631" s="197"/>
      <c r="C1631" s="197"/>
      <c r="D1631" s="228"/>
      <c r="E1631" s="228"/>
      <c r="F1631" s="197"/>
      <c r="G1631" s="26" t="str">
        <f ca="1">IFERROR(__xludf.DUMMYFUNCTION("IF(I1828="""","""",FILTER(DATOS!$D$4:$D$237,DATOS!$B$4:$B$237=I1828))"),"11-069")</f>
        <v>11-069</v>
      </c>
      <c r="H1631" s="26" t="str">
        <f ca="1">IFERROR(__xludf.DUMMYFUNCTION("IF(I1828="""","""",FILTER(DATOS!$C$4:$C$237,DATOS!$B$4:$B$237=I1828))"),"SUBA")</f>
        <v>SUBA</v>
      </c>
      <c r="I1631" s="36" t="s">
        <v>26</v>
      </c>
      <c r="J1631" s="36" t="s">
        <v>516</v>
      </c>
      <c r="K1631" s="30">
        <v>936593</v>
      </c>
      <c r="L1631" s="11"/>
    </row>
    <row r="1632" spans="1:12" ht="15.75" customHeight="1">
      <c r="A1632" s="214"/>
      <c r="B1632" s="197"/>
      <c r="C1632" s="197"/>
      <c r="D1632" s="228"/>
      <c r="E1632" s="228"/>
      <c r="F1632" s="197"/>
      <c r="G1632" s="26" t="str">
        <f ca="1">IFERROR(__xludf.DUMMYFUNCTION("IF(I1829="""","""",FILTER(DATOS!$D$4:$D$237,DATOS!$B$4:$B$237=I1829))"),"11-204")</f>
        <v>11-204</v>
      </c>
      <c r="H1632" s="26" t="str">
        <f ca="1">IFERROR(__xludf.DUMMYFUNCTION("IF(I1829="""","""",FILTER(DATOS!$C$4:$C$237,DATOS!$B$4:$B$237=I1829))"),"SUBA")</f>
        <v>SUBA</v>
      </c>
      <c r="I1632" s="36" t="s">
        <v>42</v>
      </c>
      <c r="J1632" s="36" t="s">
        <v>516</v>
      </c>
      <c r="K1632" s="30">
        <v>462088</v>
      </c>
      <c r="L1632" s="11"/>
    </row>
    <row r="1633" spans="1:12" ht="15.75" customHeight="1">
      <c r="A1633" s="214"/>
      <c r="B1633" s="197"/>
      <c r="C1633" s="197"/>
      <c r="D1633" s="228"/>
      <c r="E1633" s="228"/>
      <c r="F1633" s="197"/>
      <c r="G1633" s="26" t="str">
        <f ca="1">IFERROR(__xludf.DUMMYFUNCTION("IF(I1830="""","""",FILTER(DATOS!$D$4:$D$237,DATOS!$B$4:$B$237=I1830))"),"11-204")</f>
        <v>11-204</v>
      </c>
      <c r="H1633" s="26" t="str">
        <f ca="1">IFERROR(__xludf.DUMMYFUNCTION("IF(I1830="""","""",FILTER(DATOS!$C$4:$C$237,DATOS!$B$4:$B$237=I1830))"),"SUBA")</f>
        <v>SUBA</v>
      </c>
      <c r="I1633" s="36" t="s">
        <v>68</v>
      </c>
      <c r="J1633" s="36" t="s">
        <v>516</v>
      </c>
      <c r="K1633" s="30">
        <v>936593</v>
      </c>
      <c r="L1633" s="11"/>
    </row>
    <row r="1634" spans="1:12" ht="24.75" customHeight="1">
      <c r="A1634" s="214"/>
      <c r="B1634" s="197"/>
      <c r="C1634" s="197"/>
      <c r="D1634" s="228"/>
      <c r="E1634" s="228"/>
      <c r="F1634" s="197"/>
      <c r="G1634" s="26" t="str">
        <f ca="1">IFERROR(__xludf.DUMMYFUNCTION("IF(I1831="""","""",FILTER(DATOS!$D$4:$D$237,DATOS!$B$4:$B$237=I1831))"),"12-015")</f>
        <v>12-015</v>
      </c>
      <c r="H1634" s="26" t="str">
        <f ca="1">IFERROR(__xludf.DUMMYFUNCTION("IF(I1831="""","""",FILTER(DATOS!$C$4:$C$237,DATOS!$B$4:$B$237=I1831))"),"BARRIOS UNIDOS")</f>
        <v>BARRIOS UNIDOS</v>
      </c>
      <c r="I1634" s="36" t="s">
        <v>19</v>
      </c>
      <c r="J1634" s="36" t="s">
        <v>516</v>
      </c>
      <c r="K1634" s="30">
        <v>936593</v>
      </c>
      <c r="L1634" s="11"/>
    </row>
    <row r="1635" spans="1:12" ht="24.75" customHeight="1">
      <c r="A1635" s="214"/>
      <c r="B1635" s="197"/>
      <c r="C1635" s="197"/>
      <c r="D1635" s="228"/>
      <c r="E1635" s="228"/>
      <c r="F1635" s="197"/>
      <c r="G1635" s="26" t="str">
        <f ca="1">IFERROR(__xludf.DUMMYFUNCTION("IF(I1832="""","""",FILTER(DATOS!$D$4:$D$237,DATOS!$B$4:$B$237=I1832))"),"12-023")</f>
        <v>12-023</v>
      </c>
      <c r="H1635" s="26" t="str">
        <f ca="1">IFERROR(__xludf.DUMMYFUNCTION("IF(I1832="""","""",FILTER(DATOS!$C$4:$C$237,DATOS!$B$4:$B$237=I1832))"),"BARRIOS UNIDOS")</f>
        <v>BARRIOS UNIDOS</v>
      </c>
      <c r="I1635" s="36" t="s">
        <v>36</v>
      </c>
      <c r="J1635" s="36" t="s">
        <v>516</v>
      </c>
      <c r="K1635" s="30">
        <v>462088</v>
      </c>
      <c r="L1635" s="11"/>
    </row>
    <row r="1636" spans="1:12" ht="24.75" customHeight="1">
      <c r="A1636" s="214"/>
      <c r="B1636" s="197"/>
      <c r="C1636" s="197"/>
      <c r="D1636" s="228"/>
      <c r="E1636" s="228"/>
      <c r="F1636" s="197"/>
      <c r="G1636" s="26" t="str">
        <f ca="1">IFERROR(__xludf.DUMMYFUNCTION("IF(I1833="""","""",FILTER(DATOS!$D$4:$D$237,DATOS!$B$4:$B$237=I1833))"),"12-091")</f>
        <v>12-091</v>
      </c>
      <c r="H1636" s="26" t="str">
        <f ca="1">IFERROR(__xludf.DUMMYFUNCTION("IF(I1833="""","""",FILTER(DATOS!$C$4:$C$237,DATOS!$B$4:$B$237=I1833))"),"BARRIOS UNIDOS")</f>
        <v>BARRIOS UNIDOS</v>
      </c>
      <c r="I1636" s="36" t="s">
        <v>53</v>
      </c>
      <c r="J1636" s="36" t="s">
        <v>516</v>
      </c>
      <c r="K1636" s="30">
        <v>7968474</v>
      </c>
      <c r="L1636" s="11"/>
    </row>
    <row r="1637" spans="1:12" ht="15.75" customHeight="1">
      <c r="A1637" s="214"/>
      <c r="B1637" s="197"/>
      <c r="C1637" s="197"/>
      <c r="D1637" s="228"/>
      <c r="E1637" s="228"/>
      <c r="F1637" s="197"/>
      <c r="G1637" s="26" t="str">
        <f ca="1">IFERROR(__xludf.DUMMYFUNCTION("IF(I1835="""","""",FILTER(DATOS!$D$4:$D$237,DATOS!$B$4:$B$237=I1835))"),"12-092")</f>
        <v>12-092</v>
      </c>
      <c r="H1637" s="26" t="str">
        <f ca="1">IFERROR(__xludf.DUMMYFUNCTION("IF(I1835="""","""",FILTER(DATOS!$C$4:$C$237,DATOS!$B$4:$B$237=I1835))"),"BARRIOS UNIDOS")</f>
        <v>BARRIOS UNIDOS</v>
      </c>
      <c r="I1637" s="36" t="s">
        <v>31</v>
      </c>
      <c r="J1637" s="36" t="s">
        <v>516</v>
      </c>
      <c r="K1637" s="30">
        <v>1364212</v>
      </c>
      <c r="L1637" s="11"/>
    </row>
    <row r="1638" spans="1:12" ht="24.75" customHeight="1">
      <c r="A1638" s="214"/>
      <c r="B1638" s="197"/>
      <c r="C1638" s="197"/>
      <c r="D1638" s="228"/>
      <c r="E1638" s="228"/>
      <c r="F1638" s="197"/>
      <c r="G1638" s="32" t="str">
        <f ca="1">IFERROR(__xludf.DUMMYFUNCTION("IF(I1836="""","""",FILTER(DATOS!$D$4:$D$237,DATOS!$B$4:$B$237=I1836))"),"12-1000")</f>
        <v>12-1000</v>
      </c>
      <c r="H1638" s="32" t="str">
        <f ca="1">IFERROR(__xludf.DUMMYFUNCTION("IF(I1836="""","""",FILTER(DATOS!$C$4:$C$237,DATOS!$B$4:$B$237=I1836))"),"BARRIOS UNIDOS")</f>
        <v>BARRIOS UNIDOS</v>
      </c>
      <c r="I1638" s="36" t="s">
        <v>28</v>
      </c>
      <c r="J1638" s="36" t="s">
        <v>516</v>
      </c>
      <c r="K1638" s="30">
        <v>1873186</v>
      </c>
      <c r="L1638" s="11"/>
    </row>
    <row r="1639" spans="1:12" ht="15.75" customHeight="1">
      <c r="A1639" s="214"/>
      <c r="B1639" s="197"/>
      <c r="C1639" s="197"/>
      <c r="D1639" s="228"/>
      <c r="E1639" s="228"/>
      <c r="F1639" s="197"/>
      <c r="G1639" s="26" t="str">
        <f ca="1">IFERROR(__xludf.DUMMYFUNCTION("IF(I1837="""","""",FILTER(DATOS!$D$4:$D$237,DATOS!$B$4:$B$237=I1837))"),"12-110")</f>
        <v>12-110</v>
      </c>
      <c r="H1639" s="26" t="str">
        <f ca="1">IFERROR(__xludf.DUMMYFUNCTION("IF(I1837="""","""",FILTER(DATOS!$C$4:$C$237,DATOS!$B$4:$B$237=I1837))"),"BARRIOS UNIDOS")</f>
        <v>BARRIOS UNIDOS</v>
      </c>
      <c r="I1639" s="36" t="s">
        <v>120</v>
      </c>
      <c r="J1639" s="36" t="s">
        <v>516</v>
      </c>
      <c r="K1639" s="30">
        <v>462088</v>
      </c>
      <c r="L1639" s="11"/>
    </row>
    <row r="1640" spans="1:12" ht="15.75" customHeight="1">
      <c r="A1640" s="214"/>
      <c r="B1640" s="197"/>
      <c r="C1640" s="197"/>
      <c r="D1640" s="228"/>
      <c r="E1640" s="228"/>
      <c r="F1640" s="197"/>
      <c r="G1640" s="26" t="str">
        <f ca="1">IFERROR(__xludf.DUMMYFUNCTION("IF(I1838="""","""",FILTER(DATOS!$D$4:$D$237,DATOS!$B$4:$B$237=I1838))"),"12-125")</f>
        <v>12-125</v>
      </c>
      <c r="H1640" s="26" t="str">
        <f ca="1">IFERROR(__xludf.DUMMYFUNCTION("IF(I1838="""","""",FILTER(DATOS!$C$4:$C$237,DATOS!$B$4:$B$237=I1838))"),"BARRIOS UNIDOS")</f>
        <v>BARRIOS UNIDOS</v>
      </c>
      <c r="I1640" s="36" t="s">
        <v>47</v>
      </c>
      <c r="J1640" s="36" t="s">
        <v>516</v>
      </c>
      <c r="K1640" s="30">
        <v>936593</v>
      </c>
      <c r="L1640" s="11"/>
    </row>
    <row r="1641" spans="1:12" ht="15.75" customHeight="1">
      <c r="A1641" s="214"/>
      <c r="B1641" s="197"/>
      <c r="C1641" s="197"/>
      <c r="D1641" s="228"/>
      <c r="E1641" s="228"/>
      <c r="F1641" s="197"/>
      <c r="G1641" s="26" t="str">
        <f ca="1">IFERROR(__xludf.DUMMYFUNCTION("IF(I1839="""","""",FILTER(DATOS!$D$4:$D$237,DATOS!$B$4:$B$237=I1839))"),"12-141")</f>
        <v>12-141</v>
      </c>
      <c r="H1641" s="26" t="str">
        <f ca="1">IFERROR(__xludf.DUMMYFUNCTION("IF(I1839="""","""",FILTER(DATOS!$C$4:$C$237,DATOS!$B$4:$B$237=I1839))"),"BARRIOS UNIDOS")</f>
        <v>BARRIOS UNIDOS</v>
      </c>
      <c r="I1641" s="36" t="s">
        <v>48</v>
      </c>
      <c r="J1641" s="36" t="s">
        <v>516</v>
      </c>
      <c r="K1641" s="30">
        <v>936593</v>
      </c>
      <c r="L1641" s="11"/>
    </row>
    <row r="1642" spans="1:12" ht="15.75" customHeight="1">
      <c r="A1642" s="214"/>
      <c r="B1642" s="197"/>
      <c r="C1642" s="197"/>
      <c r="D1642" s="228"/>
      <c r="E1642" s="228"/>
      <c r="F1642" s="197"/>
      <c r="G1642" s="26" t="str">
        <f ca="1">IFERROR(__xludf.DUMMYFUNCTION("IF(I1840="""","""",FILTER(DATOS!$D$4:$D$237,DATOS!$B$4:$B$237=I1840))"),"13-088")</f>
        <v>13-088</v>
      </c>
      <c r="H1642" s="26" t="str">
        <f ca="1">IFERROR(__xludf.DUMMYFUNCTION("IF(I1840="""","""",FILTER(DATOS!$C$4:$C$237,DATOS!$B$4:$B$237=I1840))"),"TEUSAQUILLO")</f>
        <v>TEUSAQUILLO</v>
      </c>
      <c r="I1642" s="36" t="s">
        <v>66</v>
      </c>
      <c r="J1642" s="36" t="s">
        <v>516</v>
      </c>
      <c r="K1642" s="30">
        <v>2090649</v>
      </c>
      <c r="L1642" s="11"/>
    </row>
    <row r="1643" spans="1:12" ht="15.75" customHeight="1">
      <c r="A1643" s="214"/>
      <c r="B1643" s="197"/>
      <c r="C1643" s="197"/>
      <c r="D1643" s="228"/>
      <c r="E1643" s="228"/>
      <c r="F1643" s="197"/>
      <c r="G1643" s="26" t="str">
        <f ca="1">IFERROR(__xludf.DUMMYFUNCTION("IF(I1841="""","""",FILTER(DATOS!$D$4:$D$237,DATOS!$B$4:$B$237=I1841))"),"13-089")</f>
        <v>13-089</v>
      </c>
      <c r="H1643" s="26" t="str">
        <f ca="1">IFERROR(__xludf.DUMMYFUNCTION("IF(I1841="""","""",FILTER(DATOS!$C$4:$C$237,DATOS!$B$4:$B$237=I1841))"),"TEUSAQUILLO")</f>
        <v>TEUSAQUILLO</v>
      </c>
      <c r="I1643" s="36" t="s">
        <v>59</v>
      </c>
      <c r="J1643" s="36" t="s">
        <v>516</v>
      </c>
      <c r="K1643" s="30">
        <v>3951090</v>
      </c>
      <c r="L1643" s="11"/>
    </row>
    <row r="1644" spans="1:12" ht="24.75" customHeight="1">
      <c r="A1644" s="214"/>
      <c r="B1644" s="197"/>
      <c r="C1644" s="197"/>
      <c r="D1644" s="228"/>
      <c r="E1644" s="228"/>
      <c r="F1644" s="197"/>
      <c r="G1644" s="26" t="str">
        <f ca="1">IFERROR(__xludf.DUMMYFUNCTION("IF(I1845="""","""",FILTER(DATOS!$D$4:$D$237,DATOS!$B$4:$B$237=I1845))"),"14-030")</f>
        <v>14-030</v>
      </c>
      <c r="H1644" s="26" t="str">
        <f ca="1">IFERROR(__xludf.DUMMYFUNCTION("IF(I1845="""","""",FILTER(DATOS!$C$4:$C$237,DATOS!$B$4:$B$237=I1845))"),"MARTIRES")</f>
        <v>MARTIRES</v>
      </c>
      <c r="I1644" s="36" t="s">
        <v>82</v>
      </c>
      <c r="J1644" s="36" t="s">
        <v>516</v>
      </c>
      <c r="K1644" s="30">
        <v>1559361</v>
      </c>
      <c r="L1644" s="11"/>
    </row>
    <row r="1645" spans="1:12" ht="15.75" customHeight="1">
      <c r="A1645" s="214"/>
      <c r="B1645" s="197"/>
      <c r="C1645" s="197"/>
      <c r="D1645" s="228"/>
      <c r="E1645" s="228"/>
      <c r="F1645" s="197"/>
      <c r="G1645" s="26" t="str">
        <f ca="1">IFERROR(__xludf.DUMMYFUNCTION("IF(I1846="""","""",FILTER(DATOS!$D$4:$D$237,DATOS!$B$4:$B$237=I1846))"),"14-036")</f>
        <v>14-036</v>
      </c>
      <c r="H1645" s="26" t="str">
        <f ca="1">IFERROR(__xludf.DUMMYFUNCTION("IF(I1846="""","""",FILTER(DATOS!$C$4:$C$237,DATOS!$B$4:$B$237=I1846))"),"MARTIRES")</f>
        <v>MARTIRES</v>
      </c>
      <c r="I1645" s="36" t="s">
        <v>55</v>
      </c>
      <c r="J1645" s="36" t="s">
        <v>516</v>
      </c>
      <c r="K1645" s="30">
        <v>936593</v>
      </c>
      <c r="L1645" s="11"/>
    </row>
    <row r="1646" spans="1:12" ht="24.75" customHeight="1">
      <c r="A1646" s="214"/>
      <c r="B1646" s="197"/>
      <c r="C1646" s="197"/>
      <c r="D1646" s="228"/>
      <c r="E1646" s="228"/>
      <c r="F1646" s="197"/>
      <c r="G1646" s="26" t="str">
        <f ca="1">IFERROR(__xludf.DUMMYFUNCTION("IF(I1848="""","""",FILTER(DATOS!$D$4:$D$237,DATOS!$B$4:$B$237=I1848))"),"15-036")</f>
        <v>15-036</v>
      </c>
      <c r="H1646" s="26" t="str">
        <f ca="1">IFERROR(__xludf.DUMMYFUNCTION("IF(I1848="""","""",FILTER(DATOS!$C$4:$C$237,DATOS!$B$4:$B$237=I1848))"),"ANTONIO NARIÑO")</f>
        <v>ANTONIO NARIÑO</v>
      </c>
      <c r="I1646" s="36" t="s">
        <v>137</v>
      </c>
      <c r="J1646" s="36" t="s">
        <v>516</v>
      </c>
      <c r="K1646" s="30">
        <v>2728424</v>
      </c>
      <c r="L1646" s="11"/>
    </row>
    <row r="1647" spans="1:12" ht="15.75" customHeight="1">
      <c r="A1647" s="214"/>
      <c r="B1647" s="197"/>
      <c r="C1647" s="197"/>
      <c r="D1647" s="228"/>
      <c r="E1647" s="228"/>
      <c r="F1647" s="197"/>
      <c r="G1647" s="26" t="str">
        <f ca="1">IFERROR(__xludf.DUMMYFUNCTION("IF(I1849="""","""",FILTER(DATOS!$D$4:$D$237,DATOS!$B$4:$B$237=I1849))"),"15-040")</f>
        <v>15-040</v>
      </c>
      <c r="H1647" s="26" t="str">
        <f ca="1">IFERROR(__xludf.DUMMYFUNCTION("IF(I1849="""","""",FILTER(DATOS!$C$4:$C$237,DATOS!$B$4:$B$237=I1849))"),"ANTONIO NARIÑO")</f>
        <v>ANTONIO NARIÑO</v>
      </c>
      <c r="I1647" s="36" t="s">
        <v>105</v>
      </c>
      <c r="J1647" s="36" t="s">
        <v>516</v>
      </c>
      <c r="K1647" s="30">
        <v>936593</v>
      </c>
      <c r="L1647" s="11"/>
    </row>
    <row r="1648" spans="1:12" ht="24.75" customHeight="1">
      <c r="A1648" s="214"/>
      <c r="B1648" s="197"/>
      <c r="C1648" s="197"/>
      <c r="D1648" s="228"/>
      <c r="E1648" s="228"/>
      <c r="F1648" s="197"/>
      <c r="G1648" s="26" t="str">
        <f ca="1">IFERROR(__xludf.DUMMYFUNCTION("IF(I1850="""","""",FILTER(DATOS!$D$4:$D$237,DATOS!$B$4:$B$237=I1850))"),"16-024")</f>
        <v>16-024</v>
      </c>
      <c r="H1648" s="26" t="str">
        <f ca="1">IFERROR(__xludf.DUMMYFUNCTION("IF(I1850="""","""",FILTER(DATOS!$C$4:$C$237,DATOS!$B$4:$B$237=I1850))"),"PUENTE ARANDA")</f>
        <v>PUENTE ARANDA</v>
      </c>
      <c r="I1648" s="36" t="s">
        <v>91</v>
      </c>
      <c r="J1648" s="36" t="s">
        <v>516</v>
      </c>
      <c r="K1648" s="30">
        <v>936593</v>
      </c>
      <c r="L1648" s="11"/>
    </row>
    <row r="1649" spans="1:12" ht="24.75" customHeight="1">
      <c r="A1649" s="214"/>
      <c r="B1649" s="197"/>
      <c r="C1649" s="197"/>
      <c r="D1649" s="228"/>
      <c r="E1649" s="228"/>
      <c r="F1649" s="197"/>
      <c r="G1649" s="26" t="str">
        <f ca="1">IFERROR(__xludf.DUMMYFUNCTION("IF(I1852="""","""",FILTER(DATOS!$D$4:$D$237,DATOS!$B$4:$B$237=I1852))"),"16-112")</f>
        <v>16-112</v>
      </c>
      <c r="H1649" s="26" t="str">
        <f ca="1">IFERROR(__xludf.DUMMYFUNCTION("IF(I1852="""","""",FILTER(DATOS!$C$4:$C$237,DATOS!$B$4:$B$237=I1852))"),"PUENTE ARANDA")</f>
        <v>PUENTE ARANDA</v>
      </c>
      <c r="I1649" s="36" t="s">
        <v>79</v>
      </c>
      <c r="J1649" s="36" t="s">
        <v>516</v>
      </c>
      <c r="K1649" s="30">
        <v>3973960</v>
      </c>
      <c r="L1649" s="11"/>
    </row>
    <row r="1650" spans="1:12" ht="15.75" customHeight="1">
      <c r="A1650" s="214"/>
      <c r="B1650" s="197"/>
      <c r="C1650" s="197"/>
      <c r="D1650" s="228"/>
      <c r="E1650" s="228"/>
      <c r="F1650" s="197"/>
      <c r="G1650" s="26" t="str">
        <f ca="1">IFERROR(__xludf.DUMMYFUNCTION("IF(I1853="""","""",FILTER(DATOS!$D$4:$D$237,DATOS!$B$4:$B$237=I1853))"),"16-204")</f>
        <v>16-204</v>
      </c>
      <c r="H1650" s="26" t="str">
        <f ca="1">IFERROR(__xludf.DUMMYFUNCTION("IF(I1853="""","""",FILTER(DATOS!$C$4:$C$237,DATOS!$B$4:$B$237=I1853))"),"PUENTE ARANDA")</f>
        <v>PUENTE ARANDA</v>
      </c>
      <c r="I1650" s="36" t="s">
        <v>83</v>
      </c>
      <c r="J1650" s="36" t="s">
        <v>516</v>
      </c>
      <c r="K1650" s="30">
        <v>936593</v>
      </c>
      <c r="L1650" s="11"/>
    </row>
    <row r="1651" spans="1:12" ht="15.75" customHeight="1">
      <c r="A1651" s="214"/>
      <c r="B1651" s="197"/>
      <c r="C1651" s="197"/>
      <c r="D1651" s="228"/>
      <c r="E1651" s="228"/>
      <c r="F1651" s="197"/>
      <c r="G1651" s="26" t="str">
        <f ca="1">IFERROR(__xludf.DUMMYFUNCTION("IF(I1854="""","""",FILTER(DATOS!$D$4:$D$237,DATOS!$B$4:$B$237=I1854))"),"16-221")</f>
        <v>16-221</v>
      </c>
      <c r="H1651" s="26" t="str">
        <f ca="1">IFERROR(__xludf.DUMMYFUNCTION("IF(I1854="""","""",FILTER(DATOS!$C$4:$C$237,DATOS!$B$4:$B$237=I1854))"),"PUENTE ARANDA")</f>
        <v>PUENTE ARANDA</v>
      </c>
      <c r="I1651" s="36" t="s">
        <v>142</v>
      </c>
      <c r="J1651" s="36" t="s">
        <v>516</v>
      </c>
      <c r="K1651" s="30">
        <v>2552737</v>
      </c>
      <c r="L1651" s="11"/>
    </row>
    <row r="1652" spans="1:12" ht="15.75" customHeight="1">
      <c r="A1652" s="214"/>
      <c r="B1652" s="197"/>
      <c r="C1652" s="197"/>
      <c r="D1652" s="228"/>
      <c r="E1652" s="228"/>
      <c r="F1652" s="197"/>
      <c r="G1652" s="26" t="str">
        <f ca="1">IFERROR(__xludf.DUMMYFUNCTION("IF(I1855="""","""",FILTER(DATOS!$D$4:$D$237,DATOS!$B$4:$B$237=I1855))"),"16-416")</f>
        <v>16-416</v>
      </c>
      <c r="H1652" s="26" t="str">
        <f ca="1">IFERROR(__xludf.DUMMYFUNCTION("IF(I1855="""","""",FILTER(DATOS!$C$4:$C$237,DATOS!$B$4:$B$237=I1855))"),"PUENTE ARANDA")</f>
        <v>PUENTE ARANDA</v>
      </c>
      <c r="I1652" s="36" t="s">
        <v>49</v>
      </c>
      <c r="J1652" s="36" t="s">
        <v>516</v>
      </c>
      <c r="K1652" s="30">
        <v>462088</v>
      </c>
      <c r="L1652" s="11"/>
    </row>
    <row r="1653" spans="1:12" ht="15.75" customHeight="1">
      <c r="A1653" s="214"/>
      <c r="B1653" s="197"/>
      <c r="C1653" s="197"/>
      <c r="D1653" s="228"/>
      <c r="E1653" s="228"/>
      <c r="F1653" s="197"/>
      <c r="G1653" s="26" t="str">
        <f ca="1">IFERROR(__xludf.DUMMYFUNCTION("IF(I1856="""","""",FILTER(DATOS!$D$4:$D$237,DATOS!$B$4:$B$237=I1856))"),"18-028")</f>
        <v>18-028</v>
      </c>
      <c r="H1653" s="26" t="str">
        <f ca="1">IFERROR(__xludf.DUMMYFUNCTION("IF(I1856="""","""",FILTER(DATOS!$C$4:$C$237,DATOS!$B$4:$B$237=I1856))"),"RAFAEL URIBE")</f>
        <v>RAFAEL URIBE</v>
      </c>
      <c r="I1653" s="36" t="s">
        <v>74</v>
      </c>
      <c r="J1653" s="36" t="s">
        <v>516</v>
      </c>
      <c r="K1653" s="30">
        <v>2090649</v>
      </c>
      <c r="L1653" s="11"/>
    </row>
    <row r="1654" spans="1:12" ht="15.75" customHeight="1">
      <c r="A1654" s="214"/>
      <c r="B1654" s="197"/>
      <c r="C1654" s="197"/>
      <c r="D1654" s="228"/>
      <c r="E1654" s="228"/>
      <c r="F1654" s="197"/>
      <c r="G1654" s="26" t="str">
        <f ca="1">IFERROR(__xludf.DUMMYFUNCTION("IF(I1858="""","""",FILTER(DATOS!$D$4:$D$237,DATOS!$B$4:$B$237=I1858))"),"18-090")</f>
        <v>18-090</v>
      </c>
      <c r="H1654" s="26" t="str">
        <f ca="1">IFERROR(__xludf.DUMMYFUNCTION("IF(I1858="""","""",FILTER(DATOS!$C$4:$C$237,DATOS!$B$4:$B$237=I1858))"),"RAFAEL URIBE")</f>
        <v>RAFAEL URIBE</v>
      </c>
      <c r="I1654" s="36" t="s">
        <v>94</v>
      </c>
      <c r="J1654" s="36" t="s">
        <v>516</v>
      </c>
      <c r="K1654" s="30">
        <v>462088</v>
      </c>
      <c r="L1654" s="11"/>
    </row>
    <row r="1655" spans="1:12" ht="24.75" customHeight="1">
      <c r="A1655" s="214"/>
      <c r="B1655" s="197"/>
      <c r="C1655" s="197"/>
      <c r="D1655" s="228"/>
      <c r="E1655" s="228"/>
      <c r="F1655" s="197"/>
      <c r="G1655" s="26" t="str">
        <f ca="1">IFERROR(__xludf.DUMMYFUNCTION("IF(I1859="""","""",FILTER(DATOS!$D$4:$D$237,DATOS!$B$4:$B$237=I1859))"),"18-162")</f>
        <v>18-162</v>
      </c>
      <c r="H1655" s="26" t="str">
        <f ca="1">IFERROR(__xludf.DUMMYFUNCTION("IF(I1859="""","""",FILTER(DATOS!$C$4:$C$237,DATOS!$B$4:$B$237=I1859))"),"RAFAEL URIBE")</f>
        <v>RAFAEL URIBE</v>
      </c>
      <c r="I1655" s="36" t="s">
        <v>113</v>
      </c>
      <c r="J1655" s="36" t="s">
        <v>516</v>
      </c>
      <c r="K1655" s="30">
        <v>462088</v>
      </c>
      <c r="L1655" s="11"/>
    </row>
    <row r="1656" spans="1:12" ht="15.75" customHeight="1">
      <c r="A1656" s="214"/>
      <c r="B1656" s="197"/>
      <c r="C1656" s="197"/>
      <c r="D1656" s="228"/>
      <c r="E1656" s="228"/>
      <c r="F1656" s="197"/>
      <c r="G1656" s="26" t="str">
        <f ca="1">IFERROR(__xludf.DUMMYFUNCTION("IF(I1860="""","""",FILTER(DATOS!$D$4:$D$237,DATOS!$B$4:$B$237=I1860))"),"18-205")</f>
        <v>18-205</v>
      </c>
      <c r="H1656" s="26" t="str">
        <f ca="1">IFERROR(__xludf.DUMMYFUNCTION("IF(I1860="""","""",FILTER(DATOS!$C$4:$C$237,DATOS!$B$4:$B$237=I1860))"),"RAFAEL URIBE")</f>
        <v>RAFAEL URIBE</v>
      </c>
      <c r="I1656" s="36" t="s">
        <v>121</v>
      </c>
      <c r="J1656" s="36" t="s">
        <v>516</v>
      </c>
      <c r="K1656" s="30">
        <v>462088</v>
      </c>
      <c r="L1656" s="11"/>
    </row>
    <row r="1657" spans="1:12" ht="15.75" customHeight="1">
      <c r="A1657" s="214"/>
      <c r="B1657" s="197"/>
      <c r="C1657" s="197"/>
      <c r="D1657" s="228"/>
      <c r="E1657" s="228"/>
      <c r="F1657" s="197"/>
      <c r="G1657" s="26" t="str">
        <f ca="1">IFERROR(__xludf.DUMMYFUNCTION("IF(I1861="""","""",FILTER(DATOS!$D$4:$D$237,DATOS!$B$4:$B$237=I1861))"),"18-207")</f>
        <v>18-207</v>
      </c>
      <c r="H1657" s="26" t="str">
        <f ca="1">IFERROR(__xludf.DUMMYFUNCTION("IF(I1861="""","""",FILTER(DATOS!$C$4:$C$237,DATOS!$B$4:$B$237=I1861))"),"RAFAEL URIBE")</f>
        <v>RAFAEL URIBE</v>
      </c>
      <c r="I1657" s="36" t="s">
        <v>93</v>
      </c>
      <c r="J1657" s="36" t="s">
        <v>516</v>
      </c>
      <c r="K1657" s="30">
        <v>1364212</v>
      </c>
      <c r="L1657" s="11"/>
    </row>
    <row r="1658" spans="1:12" ht="15.75" customHeight="1">
      <c r="A1658" s="214"/>
      <c r="B1658" s="197"/>
      <c r="C1658" s="197"/>
      <c r="D1658" s="228"/>
      <c r="E1658" s="228"/>
      <c r="F1658" s="197"/>
      <c r="G1658" s="26" t="str">
        <f ca="1">IFERROR(__xludf.DUMMYFUNCTION("IF(I1862="""","""",FILTER(DATOS!$D$4:$D$237,DATOS!$B$4:$B$237=I1862))"),"18-452")</f>
        <v>18-452</v>
      </c>
      <c r="H1658" s="26" t="str">
        <f ca="1">IFERROR(__xludf.DUMMYFUNCTION("IF(I1862="""","""",FILTER(DATOS!$C$4:$C$237,DATOS!$B$4:$B$237=I1862))"),"RAFAEL URIBE")</f>
        <v>RAFAEL URIBE</v>
      </c>
      <c r="I1658" s="36" t="s">
        <v>98</v>
      </c>
      <c r="J1658" s="36" t="s">
        <v>516</v>
      </c>
      <c r="K1658" s="30">
        <v>462088</v>
      </c>
      <c r="L1658" s="11"/>
    </row>
    <row r="1659" spans="1:12" ht="24.75" customHeight="1">
      <c r="A1659" s="214"/>
      <c r="B1659" s="197"/>
      <c r="C1659" s="197"/>
      <c r="D1659" s="228"/>
      <c r="E1659" s="228"/>
      <c r="F1659" s="197"/>
      <c r="G1659" s="26" t="str">
        <f ca="1">IFERROR(__xludf.DUMMYFUNCTION("IF(I1863="""","""",FILTER(DATOS!$D$4:$D$237,DATOS!$B$4:$B$237=I1863))"),"18-073")</f>
        <v>18-073</v>
      </c>
      <c r="H1659" s="26" t="str">
        <f ca="1">IFERROR(__xludf.DUMMYFUNCTION("IF(I1863="""","""",FILTER(DATOS!$C$4:$C$237,DATOS!$B$4:$B$237=I1863))"),"RAFAEL URIBE")</f>
        <v>RAFAEL URIBE</v>
      </c>
      <c r="I1659" s="36" t="s">
        <v>126</v>
      </c>
      <c r="J1659" s="36" t="s">
        <v>516</v>
      </c>
      <c r="K1659" s="30">
        <v>462088</v>
      </c>
      <c r="L1659" s="11"/>
    </row>
    <row r="1660" spans="1:12" ht="24.75" customHeight="1">
      <c r="A1660" s="214"/>
      <c r="B1660" s="197"/>
      <c r="C1660" s="197"/>
      <c r="D1660" s="228"/>
      <c r="E1660" s="228"/>
      <c r="F1660" s="197"/>
      <c r="G1660" s="26" t="str">
        <f ca="1">IFERROR(__xludf.DUMMYFUNCTION("IF(I1864="""","""",FILTER(DATOS!$D$4:$D$237,DATOS!$B$4:$B$237=I1864))"),"19-188")</f>
        <v>19-188</v>
      </c>
      <c r="H1660" s="26" t="str">
        <f ca="1">IFERROR(__xludf.DUMMYFUNCTION("IF(I1864="""","""",FILTER(DATOS!$C$4:$C$237,DATOS!$B$4:$B$237=I1864))"),"CIUDAD BOLIVAR")</f>
        <v>CIUDAD BOLIVAR</v>
      </c>
      <c r="I1660" s="36" t="s">
        <v>72</v>
      </c>
      <c r="J1660" s="36" t="s">
        <v>516</v>
      </c>
      <c r="K1660" s="30">
        <v>1253824</v>
      </c>
      <c r="L1660" s="11"/>
    </row>
    <row r="1661" spans="1:12" ht="24.75" customHeight="1">
      <c r="A1661" s="214"/>
      <c r="B1661" s="197"/>
      <c r="C1661" s="197"/>
      <c r="D1661" s="228"/>
      <c r="E1661" s="228"/>
      <c r="F1661" s="197"/>
      <c r="G1661" s="26" t="str">
        <f ca="1">IFERROR(__xludf.DUMMYFUNCTION("IF(I1865="""","""",FILTER(DATOS!$D$4:$D$237,DATOS!$B$4:$B$237=I1865))"),"19-189")</f>
        <v>19-189</v>
      </c>
      <c r="H1661" s="26" t="str">
        <f ca="1">IFERROR(__xludf.DUMMYFUNCTION("IF(I1865="""","""",FILTER(DATOS!$C$4:$C$237,DATOS!$B$4:$B$237=I1865))"),"CIUDAD BOLIVAR")</f>
        <v>CIUDAD BOLIVAR</v>
      </c>
      <c r="I1661" s="36" t="s">
        <v>76</v>
      </c>
      <c r="J1661" s="36" t="s">
        <v>516</v>
      </c>
      <c r="K1661" s="30">
        <v>462088</v>
      </c>
      <c r="L1661" s="11"/>
    </row>
    <row r="1662" spans="1:12" ht="15.75" customHeight="1">
      <c r="A1662" s="214"/>
      <c r="B1662" s="197"/>
      <c r="C1662" s="197"/>
      <c r="D1662" s="228"/>
      <c r="E1662" s="228"/>
      <c r="F1662" s="197"/>
      <c r="G1662" s="26" t="str">
        <f ca="1">IFERROR(__xludf.DUMMYFUNCTION("IF(I1866="""","""",FILTER(DATOS!$D$4:$D$237,DATOS!$B$4:$B$237=I1866))"),"19-230")</f>
        <v>19-230</v>
      </c>
      <c r="H1662" s="26" t="str">
        <f ca="1">IFERROR(__xludf.DUMMYFUNCTION("IF(I1866="""","""",FILTER(DATOS!$C$4:$C$237,DATOS!$B$4:$B$237=I1866))"),"CIUDAD BOLIVAR")</f>
        <v>CIUDAD BOLIVAR</v>
      </c>
      <c r="I1662" s="36" t="s">
        <v>111</v>
      </c>
      <c r="J1662" s="36" t="s">
        <v>516</v>
      </c>
      <c r="K1662" s="30">
        <v>462088</v>
      </c>
      <c r="L1662" s="11"/>
    </row>
    <row r="1663" spans="1:12" ht="24.75" customHeight="1">
      <c r="A1663" s="214"/>
      <c r="B1663" s="197"/>
      <c r="C1663" s="197"/>
      <c r="D1663" s="228"/>
      <c r="E1663" s="228"/>
      <c r="F1663" s="197"/>
      <c r="G1663" s="26" t="str">
        <f ca="1">IFERROR(__xludf.DUMMYFUNCTION("IF(I1867="""","""",FILTER(DATOS!$D$4:$D$237,DATOS!$B$4:$B$237=I1867))"),"19-231")</f>
        <v>19-231</v>
      </c>
      <c r="H1663" s="26" t="str">
        <f ca="1">IFERROR(__xludf.DUMMYFUNCTION("IF(I1867="""","""",FILTER(DATOS!$C$4:$C$237,DATOS!$B$4:$B$237=I1867))"),"CIUDAD BOLIVAR")</f>
        <v>CIUDAD BOLIVAR</v>
      </c>
      <c r="I1663" s="36" t="s">
        <v>104</v>
      </c>
      <c r="J1663" s="36" t="s">
        <v>516</v>
      </c>
      <c r="K1663" s="30">
        <v>1547820</v>
      </c>
      <c r="L1663" s="11"/>
    </row>
    <row r="1664" spans="1:12" ht="24.75" customHeight="1">
      <c r="A1664" s="214"/>
      <c r="B1664" s="197"/>
      <c r="C1664" s="197"/>
      <c r="D1664" s="228"/>
      <c r="E1664" s="228"/>
      <c r="F1664" s="197"/>
      <c r="G1664" s="26" t="str">
        <f ca="1">IFERROR(__xludf.DUMMYFUNCTION("IF(I1868="""","""",FILTER(DATOS!$D$4:$D$237,DATOS!$B$4:$B$237=I1868))"),"19-346")</f>
        <v>19-346</v>
      </c>
      <c r="H1664" s="26" t="str">
        <f ca="1">IFERROR(__xludf.DUMMYFUNCTION("IF(I1868="""","""",FILTER(DATOS!$C$4:$C$237,DATOS!$B$4:$B$237=I1868))"),"CIUDAD BOLIVAR")</f>
        <v>CIUDAD BOLIVAR</v>
      </c>
      <c r="I1664" s="36" t="s">
        <v>99</v>
      </c>
      <c r="J1664" s="36" t="s">
        <v>516</v>
      </c>
      <c r="K1664" s="30">
        <v>1364212</v>
      </c>
      <c r="L1664" s="11"/>
    </row>
    <row r="1665" spans="1:12" ht="24.75" customHeight="1">
      <c r="A1665" s="214"/>
      <c r="B1665" s="197"/>
      <c r="C1665" s="197"/>
      <c r="D1665" s="228"/>
      <c r="E1665" s="228"/>
      <c r="F1665" s="197"/>
      <c r="G1665" s="26" t="str">
        <f ca="1">IFERROR(__xludf.DUMMYFUNCTION("IF(I1869="""","""",FILTER(DATOS!$D$4:$D$237,DATOS!$B$4:$B$237=I1869))"),"19-349")</f>
        <v>19-349</v>
      </c>
      <c r="H1665" s="26" t="str">
        <f ca="1">IFERROR(__xludf.DUMMYFUNCTION("IF(I1869="""","""",FILTER(DATOS!$C$4:$C$237,DATOS!$B$4:$B$237=I1869))"),"CIUDAD BOLIVAR")</f>
        <v>CIUDAD BOLIVAR</v>
      </c>
      <c r="I1665" s="36" t="s">
        <v>235</v>
      </c>
      <c r="J1665" s="36" t="s">
        <v>516</v>
      </c>
      <c r="K1665" s="30">
        <v>462088</v>
      </c>
      <c r="L1665" s="11"/>
    </row>
    <row r="1666" spans="1:12" ht="15.75" customHeight="1">
      <c r="A1666" s="214"/>
      <c r="B1666" s="197"/>
      <c r="C1666" s="197"/>
      <c r="D1666" s="228"/>
      <c r="E1666" s="228"/>
      <c r="F1666" s="197"/>
      <c r="G1666" s="26" t="str">
        <f ca="1">IFERROR(__xludf.DUMMYFUNCTION("IF(I1870="""","""",FILTER(DATOS!$D$4:$D$237,DATOS!$B$4:$B$237=I1870))"),"19-348")</f>
        <v>19-348</v>
      </c>
      <c r="H1666" s="26" t="str">
        <f ca="1">IFERROR(__xludf.DUMMYFUNCTION("IF(I1870="""","""",FILTER(DATOS!$C$4:$C$237,DATOS!$B$4:$B$237=I1870))"),"CIUDAD BOLIVAR")</f>
        <v>CIUDAD BOLIVAR</v>
      </c>
      <c r="I1666" s="36" t="s">
        <v>128</v>
      </c>
      <c r="J1666" s="36" t="s">
        <v>516</v>
      </c>
      <c r="K1666" s="30">
        <v>462088</v>
      </c>
      <c r="L1666" s="11"/>
    </row>
    <row r="1667" spans="1:12" ht="24.75" customHeight="1">
      <c r="A1667" s="214"/>
      <c r="B1667" s="197"/>
      <c r="C1667" s="197"/>
      <c r="D1667" s="228"/>
      <c r="E1667" s="228"/>
      <c r="F1667" s="197"/>
      <c r="G1667" s="26" t="str">
        <f ca="1">IFERROR(__xludf.DUMMYFUNCTION("IF(I1871="""","""",FILTER(DATOS!$D$4:$D$237,DATOS!$B$4:$B$237=I1871))"),"19-347")</f>
        <v>19-347</v>
      </c>
      <c r="H1667" s="26" t="str">
        <f ca="1">IFERROR(__xludf.DUMMYFUNCTION("IF(I1871="""","""",FILTER(DATOS!$C$4:$C$237,DATOS!$B$4:$B$237=I1871))"),"CIUDAD BOLIVAR")</f>
        <v>CIUDAD BOLIVAR</v>
      </c>
      <c r="I1667" s="36" t="s">
        <v>75</v>
      </c>
      <c r="J1667" s="36" t="s">
        <v>516</v>
      </c>
      <c r="K1667" s="30">
        <v>462088</v>
      </c>
      <c r="L1667" s="11"/>
    </row>
    <row r="1668" spans="1:12" ht="24.75" customHeight="1">
      <c r="A1668" s="214"/>
      <c r="B1668" s="197"/>
      <c r="C1668" s="197"/>
      <c r="D1668" s="228"/>
      <c r="E1668" s="228"/>
      <c r="F1668" s="197"/>
      <c r="G1668" s="26" t="str">
        <f ca="1">IFERROR(__xludf.DUMMYFUNCTION("IF(I1872="""","""",FILTER(DATOS!$D$4:$D$237,DATOS!$B$4:$B$237=I1872))"),"19-756")</f>
        <v>19-756</v>
      </c>
      <c r="H1668" s="26" t="str">
        <f ca="1">IFERROR(__xludf.DUMMYFUNCTION("IF(I1872="""","""",FILTER(DATOS!$C$4:$C$237,DATOS!$B$4:$B$237=I1872))"),"CIUDAD BOLIVAR")</f>
        <v>CIUDAD BOLIVAR</v>
      </c>
      <c r="I1668" s="36" t="s">
        <v>71</v>
      </c>
      <c r="J1668" s="36" t="s">
        <v>516</v>
      </c>
      <c r="K1668" s="30">
        <v>1645485</v>
      </c>
      <c r="L1668" s="11"/>
    </row>
    <row r="1669" spans="1:12" ht="24.75" customHeight="1" thickBot="1">
      <c r="A1669" s="214"/>
      <c r="B1669" s="197"/>
      <c r="C1669" s="197"/>
      <c r="D1669" s="228"/>
      <c r="E1669" s="228"/>
      <c r="F1669" s="197"/>
      <c r="G1669" s="102" t="str">
        <f ca="1">IFERROR(__xludf.DUMMYFUNCTION("IF(I1873="""","""",FILTER(DATOS!$D$4:$D$237,DATOS!$B$4:$B$237=I1873))"),"19-190")</f>
        <v>19-190</v>
      </c>
      <c r="H1669" s="102" t="str">
        <f ca="1">IFERROR(__xludf.DUMMYFUNCTION("IF(I1873="""","""",FILTER(DATOS!$C$4:$C$237,DATOS!$B$4:$B$237=I1873))"),"CIUDAD BOLIVAR")</f>
        <v>CIUDAD BOLIVAR</v>
      </c>
      <c r="I1669" s="81" t="s">
        <v>127</v>
      </c>
      <c r="J1669" s="81" t="s">
        <v>516</v>
      </c>
      <c r="K1669" s="60">
        <v>1873186</v>
      </c>
      <c r="L1669" s="11"/>
    </row>
    <row r="1670" spans="1:12" ht="24.75" customHeight="1">
      <c r="A1670" s="255" t="s">
        <v>604</v>
      </c>
      <c r="B1670" s="256" t="s">
        <v>605</v>
      </c>
      <c r="C1670" s="256" t="s">
        <v>606</v>
      </c>
      <c r="D1670" s="258">
        <v>45610</v>
      </c>
      <c r="E1670" s="258">
        <v>45913</v>
      </c>
      <c r="F1670" s="259">
        <v>9.0899999999999995E-2</v>
      </c>
      <c r="G1670" s="104" t="str">
        <f ca="1">IFERROR(__xludf.DUMMYFUNCTION("IF(I1874="""","""",FILTER(DATOS!$D$4:$D$237,DATOS!$B$4:$B$237=I1874))"),"05-016")</f>
        <v>05-016</v>
      </c>
      <c r="H1670" s="104" t="str">
        <f ca="1">IFERROR(__xludf.DUMMYFUNCTION("IF(I1874="""","""",FILTER(DATOS!$C$4:$C$237,DATOS!$B$4:$B$237=I1874))"),"USME")</f>
        <v>USME</v>
      </c>
      <c r="I1670" s="158" t="s">
        <v>89</v>
      </c>
      <c r="J1670" s="158" t="s">
        <v>607</v>
      </c>
      <c r="K1670" s="160">
        <v>1958622</v>
      </c>
      <c r="L1670" s="11">
        <v>378845510</v>
      </c>
    </row>
    <row r="1671" spans="1:12" ht="24.75" customHeight="1">
      <c r="A1671" s="243"/>
      <c r="B1671" s="197"/>
      <c r="C1671" s="197"/>
      <c r="D1671" s="228"/>
      <c r="E1671" s="228"/>
      <c r="F1671" s="197"/>
      <c r="G1671" s="26" t="str">
        <f ca="1">IFERROR(__xludf.DUMMYFUNCTION("IF(I1875="""","""",FILTER(DATOS!$D$4:$D$237,DATOS!$B$4:$B$237=I1875))"),"19-230")</f>
        <v>19-230</v>
      </c>
      <c r="H1671" s="26" t="str">
        <f ca="1">IFERROR(__xludf.DUMMYFUNCTION("IF(I1875="""","""",FILTER(DATOS!$C$4:$C$237,DATOS!$B$4:$B$237=I1875))"),"CIUDAD BOLIVAR")</f>
        <v>CIUDAD BOLIVAR</v>
      </c>
      <c r="I1671" s="36" t="s">
        <v>111</v>
      </c>
      <c r="J1671" s="169" t="s">
        <v>607</v>
      </c>
      <c r="K1671" s="108">
        <v>1202436</v>
      </c>
      <c r="L1671" s="11"/>
    </row>
    <row r="1672" spans="1:12" ht="24.75" customHeight="1">
      <c r="A1672" s="243"/>
      <c r="B1672" s="197"/>
      <c r="C1672" s="197"/>
      <c r="D1672" s="228"/>
      <c r="E1672" s="228"/>
      <c r="F1672" s="197"/>
      <c r="G1672" s="26" t="str">
        <f ca="1">IFERROR(__xludf.DUMMYFUNCTION("IF(I1876="""","""",FILTER(DATOS!$D$4:$D$237,DATOS!$B$4:$B$237=I1876))"),"19-189")</f>
        <v>19-189</v>
      </c>
      <c r="H1672" s="26" t="str">
        <f ca="1">IFERROR(__xludf.DUMMYFUNCTION("IF(I1876="""","""",FILTER(DATOS!$C$4:$C$237,DATOS!$B$4:$B$237=I1876))"),"CIUDAD BOLIVAR")</f>
        <v>CIUDAD BOLIVAR</v>
      </c>
      <c r="I1672" s="36" t="s">
        <v>76</v>
      </c>
      <c r="J1672" s="169" t="s">
        <v>607</v>
      </c>
      <c r="K1672" s="108">
        <v>1958622</v>
      </c>
      <c r="L1672" s="11"/>
    </row>
    <row r="1673" spans="1:12" ht="24.75" customHeight="1">
      <c r="A1673" s="243"/>
      <c r="B1673" s="197"/>
      <c r="C1673" s="197"/>
      <c r="D1673" s="228"/>
      <c r="E1673" s="228"/>
      <c r="F1673" s="197"/>
      <c r="G1673" s="26" t="str">
        <f ca="1">IFERROR(__xludf.DUMMYFUNCTION("IF(I1877="""","""",FILTER(DATOS!$D$4:$D$237,DATOS!$B$4:$B$237=I1877))"),"07-152")</f>
        <v>07-152</v>
      </c>
      <c r="H1673" s="26" t="str">
        <f ca="1">IFERROR(__xludf.DUMMYFUNCTION("IF(I1877="""","""",FILTER(DATOS!$C$4:$C$237,DATOS!$B$4:$B$237=I1877))"),"BOSA")</f>
        <v>BOSA</v>
      </c>
      <c r="I1673" s="36" t="s">
        <v>92</v>
      </c>
      <c r="J1673" s="169" t="s">
        <v>607</v>
      </c>
      <c r="K1673" s="108">
        <v>1958622</v>
      </c>
      <c r="L1673" s="11"/>
    </row>
    <row r="1674" spans="1:12" ht="24.75" customHeight="1">
      <c r="A1674" s="243"/>
      <c r="B1674" s="197"/>
      <c r="C1674" s="197"/>
      <c r="D1674" s="228"/>
      <c r="E1674" s="228"/>
      <c r="F1674" s="197"/>
      <c r="G1674" s="26" t="str">
        <f ca="1">IFERROR(__xludf.DUMMYFUNCTION("IF(I1878="""","""",FILTER(DATOS!$D$4:$D$237,DATOS!$B$4:$B$237=I1878))"),"08-034")</f>
        <v>08-034</v>
      </c>
      <c r="H1674" s="26" t="str">
        <f ca="1">IFERROR(__xludf.DUMMYFUNCTION("IF(I1878="""","""",FILTER(DATOS!$C$4:$C$237,DATOS!$B$4:$B$237=I1878))"),"KENNEDY")</f>
        <v>KENNEDY</v>
      </c>
      <c r="I1674" s="36" t="s">
        <v>118</v>
      </c>
      <c r="J1674" s="169" t="s">
        <v>607</v>
      </c>
      <c r="K1674" s="108">
        <v>1202436</v>
      </c>
      <c r="L1674" s="11"/>
    </row>
    <row r="1675" spans="1:12" ht="24.75" customHeight="1">
      <c r="A1675" s="243"/>
      <c r="B1675" s="197"/>
      <c r="C1675" s="197"/>
      <c r="D1675" s="228"/>
      <c r="E1675" s="228"/>
      <c r="F1675" s="197"/>
      <c r="G1675" s="26" t="str">
        <f ca="1">IFERROR(__xludf.DUMMYFUNCTION("IF(I1879="""","""",FILTER(DATOS!$D$4:$D$237,DATOS!$B$4:$B$237=I1879))"),"09-111")</f>
        <v>09-111</v>
      </c>
      <c r="H1675" s="26" t="str">
        <f ca="1">IFERROR(__xludf.DUMMYFUNCTION("IF(I1879="""","""",FILTER(DATOS!$C$4:$C$237,DATOS!$B$4:$B$237=I1879))"),"FONTIBON")</f>
        <v>FONTIBON</v>
      </c>
      <c r="I1675" s="36" t="s">
        <v>57</v>
      </c>
      <c r="J1675" s="169" t="s">
        <v>607</v>
      </c>
      <c r="K1675" s="108">
        <v>1202436</v>
      </c>
      <c r="L1675" s="11"/>
    </row>
    <row r="1676" spans="1:12" ht="24.75" customHeight="1">
      <c r="A1676" s="243"/>
      <c r="B1676" s="197"/>
      <c r="C1676" s="197"/>
      <c r="D1676" s="228"/>
      <c r="E1676" s="228"/>
      <c r="F1676" s="197"/>
      <c r="G1676" s="26" t="str">
        <f ca="1">IFERROR(__xludf.DUMMYFUNCTION("IF(I1880="""","""",FILTER(DATOS!$D$4:$D$237,DATOS!$B$4:$B$237=I1880))"),"10-223")</f>
        <v>10-223</v>
      </c>
      <c r="H1676" s="26" t="str">
        <f ca="1">IFERROR(__xludf.DUMMYFUNCTION("IF(I1880="""","""",FILTER(DATOS!$C$4:$C$237,DATOS!$B$4:$B$237=I1880))"),"ENGATIVA")</f>
        <v>ENGATIVA</v>
      </c>
      <c r="I1676" s="36" t="s">
        <v>41</v>
      </c>
      <c r="J1676" s="169" t="s">
        <v>607</v>
      </c>
      <c r="K1676" s="108">
        <v>1958622</v>
      </c>
      <c r="L1676" s="11"/>
    </row>
    <row r="1677" spans="1:12" ht="24.75" customHeight="1">
      <c r="A1677" s="243"/>
      <c r="B1677" s="197"/>
      <c r="C1677" s="197"/>
      <c r="D1677" s="228"/>
      <c r="E1677" s="228"/>
      <c r="F1677" s="197"/>
      <c r="G1677" s="32" t="str">
        <f ca="1">IFERROR(__xludf.DUMMYFUNCTION("IF(I1881="""","""",FILTER(DATOS!$D$4:$D$237,DATOS!$B$4:$B$237=I1881))"),"12-1000")</f>
        <v>12-1000</v>
      </c>
      <c r="H1677" s="32" t="str">
        <f ca="1">IFERROR(__xludf.DUMMYFUNCTION("IF(I1881="""","""",FILTER(DATOS!$C$4:$C$237,DATOS!$B$4:$B$237=I1881))"),"BARRIOS UNIDOS")</f>
        <v>BARRIOS UNIDOS</v>
      </c>
      <c r="I1677" s="36" t="s">
        <v>28</v>
      </c>
      <c r="J1677" s="169" t="s">
        <v>607</v>
      </c>
      <c r="K1677" s="108">
        <v>3470994</v>
      </c>
      <c r="L1677" s="11"/>
    </row>
    <row r="1678" spans="1:12" ht="24.75" customHeight="1">
      <c r="A1678" s="243"/>
      <c r="B1678" s="197"/>
      <c r="C1678" s="197"/>
      <c r="D1678" s="228"/>
      <c r="E1678" s="228"/>
      <c r="F1678" s="197"/>
      <c r="G1678" s="26" t="str">
        <f ca="1">IFERROR(__xludf.DUMMYFUNCTION("IF(I1882="""","""",FILTER(DATOS!$D$4:$D$237,DATOS!$B$4:$B$237=I1882))"),"06-063")</f>
        <v>06-063</v>
      </c>
      <c r="H1678" s="26" t="str">
        <f ca="1">IFERROR(__xludf.DUMMYFUNCTION("IF(I1882="""","""",FILTER(DATOS!$C$4:$C$237,DATOS!$B$4:$B$237=I1882))"),"TUNJUELITO")</f>
        <v>TUNJUELITO</v>
      </c>
      <c r="I1678" s="36" t="s">
        <v>88</v>
      </c>
      <c r="J1678" s="169" t="s">
        <v>607</v>
      </c>
      <c r="K1678" s="108">
        <v>1958622</v>
      </c>
      <c r="L1678" s="11"/>
    </row>
    <row r="1679" spans="1:12" ht="24.75" customHeight="1">
      <c r="A1679" s="243"/>
      <c r="B1679" s="197"/>
      <c r="C1679" s="197"/>
      <c r="D1679" s="228"/>
      <c r="E1679" s="228"/>
      <c r="F1679" s="197"/>
      <c r="G1679" s="26" t="str">
        <f ca="1">IFERROR(__xludf.DUMMYFUNCTION("IF(I1883="""","""",FILTER(DATOS!$D$4:$D$237,DATOS!$B$4:$B$237=I1883))"),"11-368")</f>
        <v>11-368</v>
      </c>
      <c r="H1679" s="26" t="str">
        <f ca="1">IFERROR(__xludf.DUMMYFUNCTION("IF(I1883="""","""",FILTER(DATOS!$C$4:$C$237,DATOS!$B$4:$B$237=I1883))"),"SUBA")</f>
        <v>SUBA</v>
      </c>
      <c r="I1679" s="36" t="s">
        <v>35</v>
      </c>
      <c r="J1679" s="169" t="s">
        <v>607</v>
      </c>
      <c r="K1679" s="108">
        <v>1958622</v>
      </c>
      <c r="L1679" s="11"/>
    </row>
    <row r="1680" spans="1:12" ht="24.75" customHeight="1">
      <c r="A1680" s="243"/>
      <c r="B1680" s="197"/>
      <c r="C1680" s="197"/>
      <c r="D1680" s="228"/>
      <c r="E1680" s="228"/>
      <c r="F1680" s="197"/>
      <c r="G1680" s="26" t="str">
        <f ca="1">IFERROR(__xludf.DUMMYFUNCTION("IF(I1884="""","""",FILTER(DATOS!$D$4:$D$237,DATOS!$B$4:$B$237=I1884))"),"04-127")</f>
        <v>04-127</v>
      </c>
      <c r="H1680" s="26" t="str">
        <f ca="1">IFERROR(__xludf.DUMMYFUNCTION("IF(I1884="""","""",FILTER(DATOS!$C$4:$C$237,DATOS!$B$4:$B$237=I1884))"),"SAN CRISTOBAL")</f>
        <v>SAN CRISTOBAL</v>
      </c>
      <c r="I1680" s="36" t="s">
        <v>124</v>
      </c>
      <c r="J1680" s="169" t="s">
        <v>607</v>
      </c>
      <c r="K1680" s="108">
        <v>1958622</v>
      </c>
      <c r="L1680" s="11"/>
    </row>
    <row r="1681" spans="1:12" ht="24.75" customHeight="1">
      <c r="A1681" s="243"/>
      <c r="B1681" s="197"/>
      <c r="C1681" s="197"/>
      <c r="D1681" s="228"/>
      <c r="E1681" s="228"/>
      <c r="F1681" s="197"/>
      <c r="G1681" s="26" t="str">
        <f ca="1">IFERROR(__xludf.DUMMYFUNCTION("IF(I1885="""","""",FILTER(DATOS!$D$4:$D$237,DATOS!$B$4:$B$237=I1885))"),"11-204")</f>
        <v>11-204</v>
      </c>
      <c r="H1681" s="26" t="str">
        <f ca="1">IFERROR(__xludf.DUMMYFUNCTION("IF(I1885="""","""",FILTER(DATOS!$C$4:$C$237,DATOS!$B$4:$B$237=I1885))"),"SUBA")</f>
        <v>SUBA</v>
      </c>
      <c r="I1681" s="36" t="s">
        <v>68</v>
      </c>
      <c r="J1681" s="169" t="s">
        <v>607</v>
      </c>
      <c r="K1681" s="108">
        <v>1958622</v>
      </c>
      <c r="L1681" s="11"/>
    </row>
    <row r="1682" spans="1:12" ht="24.75" customHeight="1">
      <c r="A1682" s="243"/>
      <c r="B1682" s="197"/>
      <c r="C1682" s="197"/>
      <c r="D1682" s="228"/>
      <c r="E1682" s="228"/>
      <c r="F1682" s="197"/>
      <c r="G1682" s="26" t="str">
        <f ca="1">IFERROR(__xludf.DUMMYFUNCTION("IF(I1886="""","""",FILTER(DATOS!$D$4:$D$237,DATOS!$B$4:$B$237=I1886))"),"13-089")</f>
        <v>13-089</v>
      </c>
      <c r="H1682" s="26" t="str">
        <f ca="1">IFERROR(__xludf.DUMMYFUNCTION("IF(I1886="""","""",FILTER(DATOS!$C$4:$C$237,DATOS!$B$4:$B$237=I1886))"),"TEUSAQUILLO")</f>
        <v>TEUSAQUILLO</v>
      </c>
      <c r="I1682" s="36" t="s">
        <v>59</v>
      </c>
      <c r="J1682" s="169" t="s">
        <v>608</v>
      </c>
      <c r="K1682" s="108">
        <v>1350154</v>
      </c>
      <c r="L1682" s="11"/>
    </row>
    <row r="1683" spans="1:12" ht="24.75" customHeight="1">
      <c r="A1683" s="243"/>
      <c r="B1683" s="197"/>
      <c r="C1683" s="197"/>
      <c r="D1683" s="228"/>
      <c r="E1683" s="228"/>
      <c r="F1683" s="197"/>
      <c r="G1683" s="26" t="str">
        <f ca="1">IFERROR(__xludf.DUMMYFUNCTION("IF(I1887="""","""",FILTER(DATOS!$D$4:$D$237,DATOS!$B$4:$B$237=I1887))"),"08-219")</f>
        <v>08-219</v>
      </c>
      <c r="H1683" s="26" t="str">
        <f ca="1">IFERROR(__xludf.DUMMYFUNCTION("IF(I1887="""","""",FILTER(DATOS!$C$4:$C$237,DATOS!$B$4:$B$237=I1887))"),"KENNEDY")</f>
        <v>KENNEDY</v>
      </c>
      <c r="I1683" s="81" t="s">
        <v>132</v>
      </c>
      <c r="J1683" s="169" t="s">
        <v>608</v>
      </c>
      <c r="K1683" s="108">
        <v>1350154</v>
      </c>
      <c r="L1683" s="11"/>
    </row>
    <row r="1684" spans="1:12" ht="24.75" customHeight="1">
      <c r="A1684" s="243"/>
      <c r="B1684" s="197"/>
      <c r="C1684" s="197"/>
      <c r="D1684" s="228"/>
      <c r="E1684" s="228"/>
      <c r="F1684" s="197"/>
      <c r="G1684" s="26" t="str">
        <f ca="1">IFERROR(__xludf.DUMMYFUNCTION("IF(I1888="""","""",FILTER(DATOS!$D$4:$D$237,DATOS!$B$4:$B$237=I1888))"),"10-311")</f>
        <v>10-311</v>
      </c>
      <c r="H1684" s="26" t="str">
        <f ca="1">IFERROR(__xludf.DUMMYFUNCTION("IF(I1888="""","""",FILTER(DATOS!$C$4:$C$237,DATOS!$B$4:$B$237=I1888))"),"ENGATIVA")</f>
        <v>ENGATIVA</v>
      </c>
      <c r="I1684" s="81" t="s">
        <v>38</v>
      </c>
      <c r="J1684" s="169" t="s">
        <v>608</v>
      </c>
      <c r="K1684" s="108">
        <v>1350154</v>
      </c>
      <c r="L1684" s="11"/>
    </row>
    <row r="1685" spans="1:12" ht="24.75" customHeight="1">
      <c r="A1685" s="243"/>
      <c r="B1685" s="197"/>
      <c r="C1685" s="197"/>
      <c r="D1685" s="228"/>
      <c r="E1685" s="228"/>
      <c r="F1685" s="197"/>
      <c r="G1685" s="26" t="str">
        <f ca="1">IFERROR(__xludf.DUMMYFUNCTION("IF(I1889="""","""",FILTER(DATOS!$D$4:$D$237,DATOS!$B$4:$B$237=I1889))"),"12-092")</f>
        <v>12-092</v>
      </c>
      <c r="H1685" s="26" t="str">
        <f ca="1">IFERROR(__xludf.DUMMYFUNCTION("IF(I1889="""","""",FILTER(DATOS!$C$4:$C$237,DATOS!$B$4:$B$237=I1889))"),"BARRIOS UNIDOS")</f>
        <v>BARRIOS UNIDOS</v>
      </c>
      <c r="I1685" s="81" t="s">
        <v>31</v>
      </c>
      <c r="J1685" s="169" t="s">
        <v>608</v>
      </c>
      <c r="K1685" s="108">
        <v>1350154</v>
      </c>
      <c r="L1685" s="11"/>
    </row>
    <row r="1686" spans="1:12" ht="24.75">
      <c r="A1686" s="243"/>
      <c r="B1686" s="197"/>
      <c r="C1686" s="197"/>
      <c r="D1686" s="228"/>
      <c r="E1686" s="228"/>
      <c r="F1686" s="197"/>
      <c r="G1686" s="26" t="str">
        <f ca="1">IFERROR(__xludf.DUMMYFUNCTION("IF(I1896="""","""",FILTER(DATOS!$D$4:$D$237,DATOS!$B$4:$B$237=I1896))"),"16-112")</f>
        <v>16-112</v>
      </c>
      <c r="H1686" s="26" t="str">
        <f ca="1">IFERROR(__xludf.DUMMYFUNCTION("IF(I1896="""","""",FILTER(DATOS!$C$4:$C$237,DATOS!$B$4:$B$237=I1896))"),"PUENTE ARANDA")</f>
        <v>PUENTE ARANDA</v>
      </c>
      <c r="I1686" s="81" t="s">
        <v>79</v>
      </c>
      <c r="J1686" s="169" t="s">
        <v>608</v>
      </c>
      <c r="K1686" s="108">
        <v>1350154</v>
      </c>
      <c r="L1686" s="11"/>
    </row>
    <row r="1687" spans="1:12" ht="24.75" customHeight="1">
      <c r="A1687" s="243"/>
      <c r="B1687" s="197"/>
      <c r="C1687" s="197"/>
      <c r="D1687" s="228"/>
      <c r="E1687" s="228"/>
      <c r="F1687" s="197"/>
      <c r="G1687" s="26" t="str">
        <f ca="1">IFERROR(__xludf.DUMMYFUNCTION("IF(I1898="""","""",FILTER(DATOS!$D$4:$D$237,DATOS!$B$4:$B$237=I1898))"),"06-063")</f>
        <v>06-063</v>
      </c>
      <c r="H1687" s="26" t="str">
        <f ca="1">IFERROR(__xludf.DUMMYFUNCTION("IF(I1898="""","""",FILTER(DATOS!$C$4:$C$237,DATOS!$B$4:$B$237=I1898))"),"TUNJUELITO")</f>
        <v>TUNJUELITO</v>
      </c>
      <c r="I1687" s="81" t="s">
        <v>87</v>
      </c>
      <c r="J1687" s="169" t="s">
        <v>608</v>
      </c>
      <c r="K1687" s="108">
        <v>1350154</v>
      </c>
      <c r="L1687" s="11"/>
    </row>
    <row r="1688" spans="1:12" ht="24.75" customHeight="1">
      <c r="A1688" s="243"/>
      <c r="B1688" s="197"/>
      <c r="C1688" s="197"/>
      <c r="D1688" s="228"/>
      <c r="E1688" s="228"/>
      <c r="F1688" s="197"/>
      <c r="G1688" s="26" t="str">
        <f ca="1">IFERROR(__xludf.DUMMYFUNCTION("IF(I1899="""","""",FILTER(DATOS!$D$4:$D$237,DATOS!$B$4:$B$237=I1899))"),"13-088")</f>
        <v>13-088</v>
      </c>
      <c r="H1688" s="26" t="str">
        <f ca="1">IFERROR(__xludf.DUMMYFUNCTION("IF(I1899="""","""",FILTER(DATOS!$C$4:$C$237,DATOS!$B$4:$B$237=I1899))"),"TEUSAQUILLO")</f>
        <v>TEUSAQUILLO</v>
      </c>
      <c r="I1688" s="81" t="s">
        <v>66</v>
      </c>
      <c r="J1688" s="169" t="s">
        <v>608</v>
      </c>
      <c r="K1688" s="108">
        <v>1193100</v>
      </c>
      <c r="L1688" s="11"/>
    </row>
    <row r="1689" spans="1:12" ht="24.75" customHeight="1">
      <c r="A1689" s="243"/>
      <c r="B1689" s="197"/>
      <c r="C1689" s="197"/>
      <c r="D1689" s="228"/>
      <c r="E1689" s="228"/>
      <c r="F1689" s="197"/>
      <c r="G1689" s="26" t="str">
        <f ca="1">IFERROR(__xludf.DUMMYFUNCTION("IF(I1900="""","""",FILTER(DATOS!$D$4:$D$237,DATOS!$B$4:$B$237=I1900))"),"05-087")</f>
        <v>05-087</v>
      </c>
      <c r="H1689" s="26" t="str">
        <f ca="1">IFERROR(__xludf.DUMMYFUNCTION("IF(I1900="""","""",FILTER(DATOS!$C$4:$C$237,DATOS!$B$4:$B$237=I1900))"),"USME")</f>
        <v>USME</v>
      </c>
      <c r="I1689" s="81" t="s">
        <v>135</v>
      </c>
      <c r="J1689" s="169" t="s">
        <v>608</v>
      </c>
      <c r="K1689" s="108">
        <v>1193100</v>
      </c>
      <c r="L1689" s="11"/>
    </row>
    <row r="1690" spans="1:12" ht="24.75" customHeight="1" thickBot="1">
      <c r="A1690" s="244"/>
      <c r="B1690" s="257"/>
      <c r="C1690" s="257"/>
      <c r="D1690" s="246"/>
      <c r="E1690" s="246"/>
      <c r="F1690" s="257"/>
      <c r="G1690" s="181" t="str">
        <f ca="1">IFERROR(__xludf.DUMMYFUNCTION("IF(I1901="""","""",FILTER(DATOS!$D$4:$D$237,DATOS!$B$4:$B$237=I1901))"),"16-221")</f>
        <v>16-221</v>
      </c>
      <c r="H1690" s="181" t="str">
        <f ca="1">IFERROR(__xludf.DUMMYFUNCTION("IF(I1901="""","""",FILTER(DATOS!$C$4:$C$237,DATOS!$B$4:$B$237=I1901))"),"PUENTE ARANDA")</f>
        <v>PUENTE ARANDA</v>
      </c>
      <c r="I1690" s="161" t="s">
        <v>142</v>
      </c>
      <c r="J1690" s="182" t="s">
        <v>608</v>
      </c>
      <c r="K1690" s="113">
        <v>1193100</v>
      </c>
      <c r="L1690" s="11"/>
    </row>
    <row r="1692" spans="1:12" ht="15" customHeight="1">
      <c r="K1692" s="184">
        <f>SUM(K10:K1691)</f>
        <v>113597312731.45004</v>
      </c>
    </row>
  </sheetData>
  <autoFilter ref="A9:K1690" xr:uid="{00000000-0009-0000-0000-000000000000}"/>
  <mergeCells count="195">
    <mergeCell ref="A1670:A1690"/>
    <mergeCell ref="B1670:B1690"/>
    <mergeCell ref="C1670:C1690"/>
    <mergeCell ref="D1670:D1690"/>
    <mergeCell ref="E1670:E1690"/>
    <mergeCell ref="F1670:F1690"/>
    <mergeCell ref="A1570:A1669"/>
    <mergeCell ref="B1570:B1669"/>
    <mergeCell ref="C1570:C1669"/>
    <mergeCell ref="D1570:D1669"/>
    <mergeCell ref="E1570:E1669"/>
    <mergeCell ref="F1570:F1669"/>
    <mergeCell ref="A1554:A1569"/>
    <mergeCell ref="B1554:B1569"/>
    <mergeCell ref="C1554:C1569"/>
    <mergeCell ref="D1554:D1569"/>
    <mergeCell ref="E1554:E1569"/>
    <mergeCell ref="F1554:F1569"/>
    <mergeCell ref="A1546:A1553"/>
    <mergeCell ref="B1546:B1553"/>
    <mergeCell ref="C1546:C1553"/>
    <mergeCell ref="D1546:D1553"/>
    <mergeCell ref="E1546:E1553"/>
    <mergeCell ref="F1546:F1553"/>
    <mergeCell ref="A1534:A1545"/>
    <mergeCell ref="B1534:B1545"/>
    <mergeCell ref="C1534:C1545"/>
    <mergeCell ref="D1534:D1545"/>
    <mergeCell ref="E1534:E1545"/>
    <mergeCell ref="F1534:F1545"/>
    <mergeCell ref="A1522:A1533"/>
    <mergeCell ref="B1522:B1533"/>
    <mergeCell ref="C1522:C1533"/>
    <mergeCell ref="D1522:D1533"/>
    <mergeCell ref="E1522:E1533"/>
    <mergeCell ref="F1522:F1533"/>
    <mergeCell ref="A1511:A1521"/>
    <mergeCell ref="B1511:B1521"/>
    <mergeCell ref="C1511:C1521"/>
    <mergeCell ref="D1511:D1521"/>
    <mergeCell ref="E1511:E1521"/>
    <mergeCell ref="F1511:F1521"/>
    <mergeCell ref="A1509:A1510"/>
    <mergeCell ref="B1509:B1510"/>
    <mergeCell ref="C1509:C1510"/>
    <mergeCell ref="D1509:D1510"/>
    <mergeCell ref="E1509:E1510"/>
    <mergeCell ref="F1509:F1510"/>
    <mergeCell ref="A1503:A1508"/>
    <mergeCell ref="B1503:B1508"/>
    <mergeCell ref="C1503:C1508"/>
    <mergeCell ref="D1503:D1508"/>
    <mergeCell ref="E1503:E1508"/>
    <mergeCell ref="F1503:F1508"/>
    <mergeCell ref="A1493:A1502"/>
    <mergeCell ref="B1493:B1502"/>
    <mergeCell ref="C1493:C1502"/>
    <mergeCell ref="D1493:D1502"/>
    <mergeCell ref="E1493:E1502"/>
    <mergeCell ref="F1493:F1502"/>
    <mergeCell ref="A1487:A1492"/>
    <mergeCell ref="B1487:B1492"/>
    <mergeCell ref="C1487:C1492"/>
    <mergeCell ref="D1487:D1492"/>
    <mergeCell ref="E1487:E1492"/>
    <mergeCell ref="F1487:F1492"/>
    <mergeCell ref="A1455:A1486"/>
    <mergeCell ref="B1455:B1486"/>
    <mergeCell ref="C1455:C1486"/>
    <mergeCell ref="D1455:D1486"/>
    <mergeCell ref="E1455:E1486"/>
    <mergeCell ref="F1455:F1486"/>
    <mergeCell ref="A1394:A1454"/>
    <mergeCell ref="B1394:B1454"/>
    <mergeCell ref="C1394:C1454"/>
    <mergeCell ref="D1394:D1454"/>
    <mergeCell ref="E1394:E1454"/>
    <mergeCell ref="F1394:F1454"/>
    <mergeCell ref="A1382:A1393"/>
    <mergeCell ref="B1382:B1393"/>
    <mergeCell ref="C1382:C1393"/>
    <mergeCell ref="D1382:D1393"/>
    <mergeCell ref="E1382:E1393"/>
    <mergeCell ref="F1382:F1393"/>
    <mergeCell ref="A1367:A1381"/>
    <mergeCell ref="B1367:B1381"/>
    <mergeCell ref="C1367:C1381"/>
    <mergeCell ref="D1367:D1381"/>
    <mergeCell ref="E1367:E1381"/>
    <mergeCell ref="F1367:F1381"/>
    <mergeCell ref="A1351:A1366"/>
    <mergeCell ref="B1351:B1366"/>
    <mergeCell ref="C1351:C1366"/>
    <mergeCell ref="D1351:D1366"/>
    <mergeCell ref="E1351:E1366"/>
    <mergeCell ref="F1351:F1366"/>
    <mergeCell ref="A1306:A1350"/>
    <mergeCell ref="B1306:B1350"/>
    <mergeCell ref="C1306:C1350"/>
    <mergeCell ref="D1306:D1350"/>
    <mergeCell ref="E1306:E1350"/>
    <mergeCell ref="F1306:F1350"/>
    <mergeCell ref="A1304:A1305"/>
    <mergeCell ref="B1304:B1305"/>
    <mergeCell ref="C1304:C1305"/>
    <mergeCell ref="D1304:D1305"/>
    <mergeCell ref="E1304:E1305"/>
    <mergeCell ref="F1304:F1305"/>
    <mergeCell ref="A1200:A1303"/>
    <mergeCell ref="B1200:B1303"/>
    <mergeCell ref="C1200:C1303"/>
    <mergeCell ref="D1200:D1303"/>
    <mergeCell ref="E1200:E1303"/>
    <mergeCell ref="F1200:F1303"/>
    <mergeCell ref="A1193:F1193"/>
    <mergeCell ref="A1195:A1199"/>
    <mergeCell ref="B1195:B1199"/>
    <mergeCell ref="C1195:C1199"/>
    <mergeCell ref="D1195:D1199"/>
    <mergeCell ref="E1195:E1199"/>
    <mergeCell ref="F1195:F1199"/>
    <mergeCell ref="A1025:A1191"/>
    <mergeCell ref="B1025:B1191"/>
    <mergeCell ref="C1025:C1191"/>
    <mergeCell ref="D1025:D1191"/>
    <mergeCell ref="E1025:E1191"/>
    <mergeCell ref="F1025:F1191"/>
    <mergeCell ref="A988:A1024"/>
    <mergeCell ref="B988:B1024"/>
    <mergeCell ref="C988:C1024"/>
    <mergeCell ref="D988:D1024"/>
    <mergeCell ref="E988:E1024"/>
    <mergeCell ref="F988:F1024"/>
    <mergeCell ref="A950:A987"/>
    <mergeCell ref="B950:B987"/>
    <mergeCell ref="C950:C987"/>
    <mergeCell ref="D950:D987"/>
    <mergeCell ref="E950:E987"/>
    <mergeCell ref="F950:F987"/>
    <mergeCell ref="A733:A949"/>
    <mergeCell ref="B733:B949"/>
    <mergeCell ref="C733:C949"/>
    <mergeCell ref="D733:D949"/>
    <mergeCell ref="E733:E949"/>
    <mergeCell ref="F733:F949"/>
    <mergeCell ref="A512:A732"/>
    <mergeCell ref="B512:B732"/>
    <mergeCell ref="C512:C732"/>
    <mergeCell ref="D512:D732"/>
    <mergeCell ref="E512:E732"/>
    <mergeCell ref="F512:F732"/>
    <mergeCell ref="A507:F507"/>
    <mergeCell ref="A508:A511"/>
    <mergeCell ref="B508:B511"/>
    <mergeCell ref="C508:C511"/>
    <mergeCell ref="D508:D511"/>
    <mergeCell ref="E508:E511"/>
    <mergeCell ref="F508:F511"/>
    <mergeCell ref="A379:A506"/>
    <mergeCell ref="B379:B506"/>
    <mergeCell ref="C379:C506"/>
    <mergeCell ref="D379:D506"/>
    <mergeCell ref="E379:E506"/>
    <mergeCell ref="F379:F506"/>
    <mergeCell ref="A253:A378"/>
    <mergeCell ref="B253:B378"/>
    <mergeCell ref="C253:C378"/>
    <mergeCell ref="D253:D378"/>
    <mergeCell ref="E253:E378"/>
    <mergeCell ref="F253:F378"/>
    <mergeCell ref="A134:A252"/>
    <mergeCell ref="B134:B252"/>
    <mergeCell ref="C134:C252"/>
    <mergeCell ref="D134:D252"/>
    <mergeCell ref="E134:E252"/>
    <mergeCell ref="F134:F252"/>
    <mergeCell ref="G7:J8"/>
    <mergeCell ref="K7:K8"/>
    <mergeCell ref="A9:F9"/>
    <mergeCell ref="A10:A133"/>
    <mergeCell ref="B10:B133"/>
    <mergeCell ref="C10:C133"/>
    <mergeCell ref="D10:D133"/>
    <mergeCell ref="E10:E133"/>
    <mergeCell ref="F10:F133"/>
    <mergeCell ref="A1:A2"/>
    <mergeCell ref="A3:J3"/>
    <mergeCell ref="A4:J4"/>
    <mergeCell ref="A5:J5"/>
    <mergeCell ref="A7:A8"/>
    <mergeCell ref="B7:B8"/>
    <mergeCell ref="C7:C8"/>
    <mergeCell ref="D7:D8"/>
    <mergeCell ref="E7:E8"/>
    <mergeCell ref="F7:F8"/>
  </mergeCells>
  <conditionalFormatting sqref="F1195:F1303 E1200:E1303 E1306:E1366 F1306:F1375 E1382:F1553 E1570:F1690">
    <cfRule type="expression" dxfId="0" priority="1">
      <formula>"%"</formula>
    </cfRule>
  </conditionalFormatting>
  <dataValidations count="1">
    <dataValidation type="list" allowBlank="1" showDropDown="1" showErrorMessage="1" sqref="I10:I252 I379:I502 I603:I648 I650:I728 I950:I974 I985:I1021 I1192 I1025:I1189 I733:I948 I1554:I1690 I1194:I1552 I508:I533" xr:uid="{ABFD54CC-7F80-4838-BD38-E39717A7CCED}">
      <formula1>Nombre_Parque</formula1>
    </dataValidation>
  </dataValidations>
  <pageMargins left="0.7" right="0.7" top="0.75" bottom="0.75"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 Baquero Abadia</dc:creator>
  <cp:lastModifiedBy>Katherin Baquero Abadia</cp:lastModifiedBy>
  <dcterms:created xsi:type="dcterms:W3CDTF">2025-04-08T19:59:14Z</dcterms:created>
  <dcterms:modified xsi:type="dcterms:W3CDTF">2025-04-08T22:24:37Z</dcterms:modified>
</cp:coreProperties>
</file>